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770" windowHeight="6750" tabRatio="920" activeTab="0"/>
  </bookViews>
  <sheets>
    <sheet name="Рекомендации" sheetId="1" r:id="rId1"/>
    <sheet name="Положение" sheetId="2" r:id="rId2"/>
    <sheet name="Исходные данные" sheetId="3" r:id="rId3"/>
    <sheet name="Пособие по временной нетрудосп." sheetId="4" r:id="rId4"/>
    <sheet name="Выходная форма по врем. нетруд." sheetId="5" r:id="rId5"/>
    <sheet name="информация" sheetId="6" state="hidden" r:id="rId6"/>
    <sheet name="Вид нетрудоспособ." sheetId="7" state="hidden" r:id="rId7"/>
    <sheet name="календарь" sheetId="8" state="hidden" r:id="rId8"/>
    <sheet name="прописью" sheetId="9" state="hidden" r:id="rId9"/>
  </sheets>
  <definedNames>
    <definedName name="_xlnm.Print_Area" localSheetId="4">'Выходная форма по врем. нетруд.'!$C$4:$K$47</definedName>
    <definedName name="_xlnm.Print_Area" localSheetId="2">'Исходные данные'!$C$3:$E$317</definedName>
    <definedName name="_xlnm.Print_Area" localSheetId="1">'Положение'!$C$3:$C$162</definedName>
    <definedName name="_xlnm.Print_Area" localSheetId="3">'Пособие по временной нетрудосп.'!$C$4:$M$122</definedName>
    <definedName name="_xlnm.Print_Area" localSheetId="0">'Рекомендации'!$C$3:$C$18</definedName>
  </definedNames>
  <calcPr fullCalcOnLoad="1"/>
</workbook>
</file>

<file path=xl/comments3.xml><?xml version="1.0" encoding="utf-8"?>
<comments xmlns="http://schemas.openxmlformats.org/spreadsheetml/2006/main">
  <authors>
    <author>shimanovich</author>
  </authors>
  <commentList>
    <comment ref="M6" authorId="0">
      <text>
        <r>
          <rPr>
            <b/>
            <sz val="8"/>
            <rFont val="Tahoma"/>
            <family val="0"/>
          </rPr>
          <t>выберите из раскрывающегося списка сотрудника</t>
        </r>
      </text>
    </comment>
    <comment ref="O16" authorId="0">
      <text>
        <r>
          <rPr>
            <b/>
            <sz val="8"/>
            <rFont val="Tahoma"/>
            <family val="0"/>
          </rPr>
          <t>выберите из раскрывающегося списка нужный вариант</t>
        </r>
      </text>
    </comment>
    <comment ref="U22" authorId="0">
      <text>
        <r>
          <rPr>
            <b/>
            <sz val="8"/>
            <rFont val="Tahoma"/>
            <family val="0"/>
          </rPr>
          <t>данные в ячейку введите вручную</t>
        </r>
      </text>
    </comment>
    <comment ref="Q22" authorId="0">
      <text>
        <r>
          <rPr>
            <b/>
            <sz val="8"/>
            <rFont val="Tahoma"/>
            <family val="0"/>
          </rPr>
          <t>выберите из раскрывающегося списка нужный вариант</t>
        </r>
      </text>
    </comment>
    <comment ref="I20" authorId="0">
      <text>
        <r>
          <rPr>
            <sz val="8"/>
            <rFont val="Tahoma"/>
            <family val="2"/>
          </rPr>
          <t>В эту ячейку данные вносятся только при расчете исходя 
из среднего заработка, сохраненного за работником в 
расчетном периоде в соответствии с законодательством, 
либо при расчете исходя из тарифной ставки (оклада) (без
надбавок и повышений).</t>
        </r>
      </text>
    </comment>
    <comment ref="U24" authorId="0">
      <text>
        <r>
          <rPr>
            <b/>
            <sz val="8"/>
            <rFont val="Tahoma"/>
            <family val="0"/>
          </rPr>
          <t>выберите из раскрывающегося списка нужный вариант</t>
        </r>
      </text>
    </comment>
  </commentList>
</comments>
</file>

<file path=xl/comments4.xml><?xml version="1.0" encoding="utf-8"?>
<comments xmlns="http://schemas.openxmlformats.org/spreadsheetml/2006/main">
  <authors>
    <author>Администратор</author>
    <author>shimanovich</author>
  </authors>
  <commentList>
    <comment ref="M19" authorId="0">
      <text>
        <r>
          <rPr>
            <sz val="8"/>
            <rFont val="Tahoma"/>
            <family val="2"/>
          </rPr>
          <t>В соответствии с ч. 5 п. 24 Положения  № 569,
заработок для исчисления пособий за каждый календарный месяц расчетного периода не может превышать сумму, на которую начисляются обязательные страховые взносы в соответствии с законодательством. А именно, не может быть выше четырехкратной величины средней заработной платы работников в республике за месяц, предшествующий месяцу, за который уплачиваются обязательные страховые взносы</t>
        </r>
      </text>
    </comment>
    <comment ref="J106" authorId="0">
      <text>
        <r>
          <rPr>
            <sz val="8"/>
            <rFont val="Tahoma"/>
            <family val="2"/>
          </rPr>
          <t>В соответствии с ч. 4, 5 п. 16 Положения  № 569, минимальный размер пособий в месяц устанавливается в размере 50% наибольшей величины бюджета прожиточного минимума в среднем на душу населения, утвержденного Советом Министров Республики Беларусь, за два последних квартала относительно каждого месяца, в котором имели место временная нетрудоспособность.
Минимальный размер пособий за неполный месяц определяется в размере величины, получаемой путем деления минимального размера пособия в месяц  на количество календарных дней данного месяца с последующим умножением полученного результата на количество календарных дней освобождения от работы в связи с временной нетрудоспособностью согласно листку нетрудоспособности в этом месяце</t>
        </r>
      </text>
    </comment>
    <comment ref="K106" authorId="0">
      <text>
        <r>
          <rPr>
            <sz val="8"/>
            <rFont val="Tahoma"/>
            <family val="2"/>
          </rPr>
          <t>В соответствии с п. 29 Положения  № 569, м</t>
        </r>
        <r>
          <rPr>
            <sz val="9"/>
            <rFont val="Times New Roman"/>
            <family val="1"/>
          </rPr>
          <t>аксимальный размер пособия, исчисленного работнику за календарный месяц по каждому месту работы устанавливается в размере трехкратной величины средней заработной платы работников в республике в месяце, предшествующем месяцу, в котором возникло право на пособие.
Максимальный размер пособия за неполный календарный месяц определяется в размере величины, получаемой путем деления трехкратной величины средней заработной платы работников в республике в месяце, предшествующем месяцу, в котором возникло право на пособие, на количество календарных дней данного месяца с последующим умножением полученного результата на количество календарных дней освобождения от работы в связи с временной нетрудоспособностью согласно листку нетрудоспособности в этом месяце</t>
        </r>
        <r>
          <rPr>
            <sz val="8"/>
            <rFont val="Tahoma"/>
            <family val="2"/>
          </rPr>
          <t xml:space="preserve">
</t>
        </r>
      </text>
    </comment>
    <comment ref="E19" authorId="1">
      <text>
        <r>
          <rPr>
            <sz val="8"/>
            <rFont val="Tahoma"/>
            <family val="2"/>
          </rPr>
          <t xml:space="preserve">    В заработок для исчисления пособий работникам включаются виды оплаты труда (за исключением выплат, носящих единовременный характер), на которые в соответствии с законодательством начисляются обязательные страховые взносы.
     Заработная плата, надбавки и доплаты к ней включаются в заработок того месяца, за который они начислены.
     Премии и иные выплаты включаются в заработок за тот месяц, в котором они выплачены. Месяцем их выплаты считается месяц, на который они приходятся согласно лицевому счету, расчетной ведомости. Если в месяце, за который исчисляется заработок, работник отработал не все рабочие дни по графику работы, премии и иные выплаты при исчислении пособий учитываются пропорционально отработанному времени в данном месяце.
     Выплаты, произведенные за периоды, исключаемые при определении среднедневного заработка согласно ч.2 п. 22 Положения № 569, а также выплаты, право на которые не утрачивается работником в связи с временной нетрудоспособностью,  в заработок для исчисления пособий не включаются (п. 24 Положения  № 569).</t>
        </r>
      </text>
    </comment>
    <comment ref="J19" authorId="1">
      <text>
        <r>
          <rPr>
            <sz val="8"/>
            <rFont val="Tahoma"/>
            <family val="2"/>
          </rPr>
          <t>Если в месяце, за который исчисляется заработок, работник отработал не все рабочие дни по графику работы, премии и иные выплаты при исчислении пособий учитываются пропорционально отработанному времени в данном месяце ( ч. 3 п. 24 Положения  № 569).</t>
        </r>
      </text>
    </comment>
    <comment ref="C31" authorId="1">
      <text>
        <r>
          <rPr>
            <sz val="8"/>
            <rFont val="Tahoma"/>
            <family val="2"/>
          </rPr>
          <t>В число календарных дней расчетного периода, на которые делится заработок, не включаются периоды:
  трудового и социального отпусков;
  временной нетрудоспособности;
  простоя не по вине работника;
  освобождения от работы в соответствии с  законодательством в других случаях.</t>
        </r>
      </text>
    </comment>
    <comment ref="C32" authorId="1">
      <text>
        <r>
          <rPr>
            <sz val="8"/>
            <rFont val="Tahoma"/>
            <family val="2"/>
          </rPr>
          <t xml:space="preserve">    При расчете пособия на основании гражданско-правового договора указывается (вручную) число календарных дней периода выполнения работ по гражданско-правовому договору, за который выплачено вознаграждение (вознаграждения).
   При расчете пособия на основании тарифной ставки (среднего заработка, сохраняемого за работником в расчетном периоде) указывается (вручную) календарное количество дней месяца, в котором имела место временная нетрудоспособности.</t>
        </r>
      </text>
    </comment>
    <comment ref="C44" authorId="1">
      <text>
        <r>
          <rPr>
            <sz val="8"/>
            <rFont val="Tahoma"/>
            <family val="2"/>
          </rPr>
          <t>В число календарных дней расчетного периода, на которые делится заработок, не включаются периоды:
  трудового и социального отпусков;
  временной нетрудоспособности;
  простоя не по вине работника;
  освобождения от работы в соответствии с  законодательством в других случаях.</t>
        </r>
      </text>
    </comment>
    <comment ref="C45" authorId="1">
      <text>
        <r>
          <rPr>
            <sz val="8"/>
            <rFont val="Tahoma"/>
            <family val="2"/>
          </rPr>
          <t xml:space="preserve">    При расчете пособия на основании гражданско-правового договора указывается (вручную) число календарных дней периода выполнения работ по гражданско-правовому договору, за который выплачено вознаграждение (вознаграждения).
   При расчете пособия на основании тарифной ставки (среднего заработка, сохраняемого за работником в расчетном периоде) указывается (вручную) календарное количество дней месяца, в котором имела место временная нетрудоспособности.</t>
        </r>
      </text>
    </comment>
    <comment ref="C57" authorId="1">
      <text>
        <r>
          <rPr>
            <sz val="8"/>
            <rFont val="Tahoma"/>
            <family val="2"/>
          </rPr>
          <t>В число календарных дней расчетного периода, на которые делится заработок, не включаются периоды:
  трудового и социального отпусков;
  временной нетрудоспособности;
  простоя не по вине работника;
  освобождения от работы в соответствии с  законодательством в других случаях.</t>
        </r>
      </text>
    </comment>
    <comment ref="C58" authorId="1">
      <text>
        <r>
          <rPr>
            <sz val="8"/>
            <rFont val="Tahoma"/>
            <family val="2"/>
          </rPr>
          <t xml:space="preserve">    При расчете пособия на основании гражданско-правового договора указывается (вручную) число календарных дней периода выполнения работ по гражданско-правовому договору, за который выплачено вознаграждение (вознаграждения).
   При расчете пособия на основании тарифной ставки (среднего заработка, сохраняемого за работником в расчетном периоде) указывается (вручную) календарное количество дней месяца, в котором имела место временная нетрудоспособности.</t>
        </r>
      </text>
    </comment>
    <comment ref="C70" authorId="1">
      <text>
        <r>
          <rPr>
            <sz val="8"/>
            <rFont val="Tahoma"/>
            <family val="2"/>
          </rPr>
          <t>В число календарных дней расчетного периода, на которые делится заработок, не включаются периоды:
  трудового и социального отпусков;
  временной нетрудоспособности;
  простоя не по вине работника;
  освобождения от работы в соответствии с  законодательством в других случаях.</t>
        </r>
      </text>
    </comment>
    <comment ref="C71" authorId="1">
      <text>
        <r>
          <rPr>
            <sz val="8"/>
            <rFont val="Tahoma"/>
            <family val="2"/>
          </rPr>
          <t xml:space="preserve">    При расчете пособия на основании гражданско-правового договора указывается (вручную) число календарных дней периода выполнения работ по гражданско-правовому договору, за который выплачено вознаграждение (вознаграждения).
   При расчете пособия на основании тарифной ставки (среднего заработка, сохраняемого за работником в расчетном периоде) указывается (вручную) календарное количество дней месяца, в котором имела место временная нетрудоспособности.</t>
        </r>
      </text>
    </comment>
    <comment ref="C83" authorId="1">
      <text>
        <r>
          <rPr>
            <sz val="8"/>
            <rFont val="Tahoma"/>
            <family val="2"/>
          </rPr>
          <t>В число календарных дней расчетного периода, на которые делится заработок, не включаются периоды:
  трудового и социального отпусков;
  временной нетрудоспособности;
  простоя не по вине работника;
  освобождения от работы в соответствии с  законодательством в других случаях.</t>
        </r>
      </text>
    </comment>
    <comment ref="C84" authorId="1">
      <text>
        <r>
          <rPr>
            <sz val="8"/>
            <rFont val="Tahoma"/>
            <family val="2"/>
          </rPr>
          <t xml:space="preserve">    При расчете пособия на основании гражданско-правового договора указывается (вручную) число календарных дней периода выполнения работ по гражданско-правовому договору, за который выплачено вознаграждение (вознаграждения).
   При расчете пособия на основании тарифной ставки (среднего заработка, сохраняемого за работником в расчетном периоде) указывается (вручную) календарное количество дней месяца, в котором имела место временная нетрудоспособности.</t>
        </r>
      </text>
    </comment>
    <comment ref="C96" authorId="1">
      <text>
        <r>
          <rPr>
            <sz val="8"/>
            <rFont val="Tahoma"/>
            <family val="2"/>
          </rPr>
          <t>В число календарных дней расчетного периода, на которые делится заработок, не включаются периоды:
  трудового и социального отпусков;
  временной нетрудоспособности;
  простоя не по вине работника;
  освобождения от работы в соответствии с  законодательством в других случаях.</t>
        </r>
      </text>
    </comment>
    <comment ref="C97" authorId="1">
      <text>
        <r>
          <rPr>
            <sz val="8"/>
            <rFont val="Tahoma"/>
            <family val="2"/>
          </rPr>
          <t xml:space="preserve">    При расчете пособия на основании гражданско-правового договора указывается (вручную) число календарных дней периода выполнения работ по гражданско-правовому договору, за который выплачено вознаграждение (вознаграждения).
   При расчете пособия на основании тарифной ставки (среднего заработка, сохраняемого за работником в расчетном периоде) указывается (вручную) календарное количество дней месяца, в котором имела место временная нетрудоспособности.</t>
        </r>
      </text>
    </comment>
    <comment ref="G117" authorId="1">
      <text>
        <r>
          <rPr>
            <b/>
            <sz val="8"/>
            <rFont val="Tahoma"/>
            <family val="0"/>
          </rPr>
          <t>выберите из раскрывающегося списка нужный вариант</t>
        </r>
      </text>
    </comment>
  </commentList>
</comments>
</file>

<file path=xl/sharedStrings.xml><?xml version="1.0" encoding="utf-8"?>
<sst xmlns="http://schemas.openxmlformats.org/spreadsheetml/2006/main" count="676" uniqueCount="361">
  <si>
    <t>16. Пособие по временной нетрудоспособности, кроме пособия по временной нетрудоспособности лицам, указанным в пункте 18 настоящего Положения, назначается в размере 80 процентов среднедневного заработка за первые 12 календарных дней нетрудоспособности и в размере 100 процентов среднедневного заработка за последующие календарные дни непрерывной временной нетрудоспособности.</t>
  </si>
  <si>
    <t>Временная нетрудоспособность считается непрерывной (для исчисления пособия), если период освобождения от работы согласно листкам нетрудоспособности длится непрерывно и в указанный период не наступили обстоятельства, влияющие на размер пособия, или новый случай временной нетрудоспособности, указанный в пункте 2 настоящего Положения.</t>
  </si>
  <si>
    <t>Пособие по беременности и родам назначается в размере 100 процентов среднедневного заработка за календарные дни, удостоверенные листком нетрудоспособности.</t>
  </si>
  <si>
    <t>Минимальный размер пособий за неполный месяц определяется в размере величины, получаемой путем деления минимального размера пособия, указанного в части четвертой настоящего пункта, на количество календарных дней данного месяца с последующим умножением полученного результата на количество календарных дней освобождения от работы в связи с временной нетрудоспособностью, беременностью и родами согласно листку нетрудоспособности в этом месяце.</t>
  </si>
  <si>
    <t>Лицам, за которых плательщиком обязательных страховых взносов (далее – плательщик), назначающим пособия, обязательные страховые взносы уплачивались менее чем за 6 месяцев до возникновения права на пособия, недостающие периоды уплаты обязательных страховых взносов подтверждаются сведениями (информацией), выдаваемыми городскими, районными, районными в городах отделами областных (Минского городского) управлений, областными (Минским городским) управлениями Фонда социальной защиты населения Министерства труда и социальной защиты (далее – территориальные органы Фонда). Порядок предоставления территориальными органами Фонда плательщику сведений о периодах уплаты обязательных страховых взносов устанавливается правлением Фонда социальной защиты населения Министерства труда и социальной защиты (далее – Фонд).</t>
  </si>
  <si>
    <t>Исчисление периодов уплаты обязательных страховых взносов на социальное страхование для назначения пособий осуществляется в порядке, установленном для исчисления периодов работы, предпринимательской, творческой и иной деятельности для назначения пенсий.</t>
  </si>
  <si>
    <t>18. Пособие по временной нетрудоспособности назначается в размере 100 процентов среднедневного заработка за календарные дни, удостоверенные листком нетрудоспособности:</t>
  </si>
  <si>
    <t>18.1. инвалидам Великой Отечественной войны, инвалидам боевых действий на территории других государств, участникам Великой Отечественной войны, а также лицам, указанным в части второй статьи 12 и части второй статьи 13 Закона Республики Беларусь «О ветеранах»;</t>
  </si>
  <si>
    <t>18.2. гражданам, пострадавшим от катастрофы на Чернобыльской АЭС, других радиационных аварий, указанным в пунктах 1 и 3 статьи 13, пунктах 1 статей 18 и 24–26 Закона Республики Беларусь от 6 января 2009 года «О социальной защите граждан, пострадавших от катастрофы на Чернобыльской АЭС, других радиационных аварий» (Национальный реестр правовых актов Республики Беларусь, 2009 г., № 17, 2/1561);</t>
  </si>
  <si>
    <t>18.3. донорам, сдавшим кровь (мужчины – не менее четырех донаций, женщины – не менее трех донаций) и ее компоненты (не менее 14 донаций) в течение 12 месяцев, предшествующих дню наступления временной нетрудоспособности (независимо от причины ее наступления);</t>
  </si>
  <si>
    <t>18.4. живым донорам на период временной нетрудоспособности, наступившей в связи с забором у них органов и (или) тканей человека;</t>
  </si>
  <si>
    <t>18.5. лицам, осуществляющим уход за больным ребенком в возрасте до 14 лет при оказании медицинской помощи в амбулаторных условиях и за больным ребенком в возрасте до 14 лет (ребенком-инвалидом в возрасте до 18 лет) при оказании медицинской помощи в стационарных условиях, за ребенком в возрасте до 3 лет и ребенком-инвалидом в возрасте до 18 лет в случае болезни матери либо другого лица, фактически осуществляющего уход за ребенком, а также за ребенком-инвалидом в возрасте до 18 лет в случае его санаторно-курортного лечения, медицинской реабилитации.</t>
  </si>
  <si>
    <t>19. Пособие по временной нетрудоспособности назначается в размере 50 процентов от пособия, исчисленного в соответствии с частью первой пункта 16, пунктами 18 и 20 настоящего Положения, в случаях:</t>
  </si>
  <si>
    <t>19.1. заболевания или травмы, причиной которого(ой) явилось потребление алкоголя, наркотических средств, психотропных веществ, их аналогов, токсических или других одурманивающих веществ. При этом за первые 6 календарных дней временной нетрудоспособности пособие не назначается;</t>
  </si>
  <si>
    <t>19.2. нарушения режима, предписанного врачом, – со дня его нарушения на срок, устанавливаемый комиссией по назначению государственных пособий семьям, воспитывающим детей, и пособий по временной нетрудоспособности, создаваемой плательщиком (далее – комиссия по назначению пособий плательщика);</t>
  </si>
  <si>
    <t>19.3. наступления временной нетрудоспособности в период прогула без уважительной причины.</t>
  </si>
  <si>
    <t>Бюджет прожиточного минимума в среднем на душу населения</t>
  </si>
  <si>
    <t>20. Лицам, указанным в пункте 8 настоящего Положения, пособия назначаются в размере 70 процентов размера среднедневного заработка с учетом норм пункта 10, частей четвертой и пятой пункта 16, пунктов 17, 19, 21–25, 29 настоящего Положения.</t>
  </si>
  <si>
    <t>21. Размер среднедневного заработка для исчисления пособий работникам определяется за 6 календарных месяцев, предшествующих месяцу, в котором возникло право на пособия (далее – расчетный период). При этом размер среднедневного заработка для исчисления пособия по временной нетрудоспособности исчисляется исходя из заработка за период работы у плательщика, назначающего пособие.</t>
  </si>
  <si>
    <t>Справка о размере заработной платы для исчисления пособия по беременности и родам за периоды работы, предшествующие периоду работы у плательщика, назначающего пособие, представляется лицом, обратившимся за пособием. Указанная справка оформляется с учетом норм пунктов 22 и 24 настоящего Положения.</t>
  </si>
  <si>
    <t>До представления справки о размере заработной платы пособие по беременности и родам по желанию лица, обратившегося за пособием, исчисляется исходя из заработка за период работы у плательщика, назначающего пособие. При этом периоды работы, предшествующие периоду работы у плательщика, назначающего пособие, не исключаются из количества календарных дней, на которые делится заработок.</t>
  </si>
  <si>
    <t>Работникам, кроме указанных в части первой пункта 17 и части первой пункта 23 настоящего Положения, отработавшим расчетный период не полностью, размер среднедневного заработка для исчисления пособий определяется за фактически отработанное время. При этом заработок для исчисления пособия по беременности и родам за каждый полный календарный месяц учитывается в размере, не превышающем величину средней заработной платы работников в республике за соответствующий месяц.</t>
  </si>
  <si>
    <t>22. Размер среднедневного заработка определяется путем деления суммы заработка, учитываемого для исчисления пособий в порядке, установленном в пункте 24 настоящего Положения, за расчетный период на число календарных дней этого периода.</t>
  </si>
  <si>
    <t>трудового и социального отпусков;</t>
  </si>
  <si>
    <t>временной нетрудоспособности;</t>
  </si>
  <si>
    <t>простоя не по вине работника;</t>
  </si>
  <si>
    <t>освобождения от работы в соответствии с законодательством в других случаях.</t>
  </si>
  <si>
    <t>При исчислении пособий исходя из тарифной ставки (оклада) применяется ее (его) среднедневной размер, который определяется для каждого месяца, в котором имели место временная нетрудоспособность, отпуск по беременности и родам, путем деления размера тарифной ставки (оклада) на число календарных дней в данном месяце.</t>
  </si>
  <si>
    <t>При исчислении пособий исходя из среднего заработка применяется размер среднедневного заработка, определенный для соответствующей выплаты в порядке, установленном законодательством. Если работнику производилось несколько таких выплат, пособия исчисляются из более высокого размера среднедневного заработка.</t>
  </si>
  <si>
    <t>24. В заработок для исчисления пособий работникам включаются виды оплаты труда (за исключением выплат, носящих единовременный характер), на которые в соответствии с законодательством начисляются обязательные страховые взносы.</t>
  </si>
  <si>
    <t>Заработная плата, надбавки и доплаты к ней включаются в заработок того месяца, за который они начислены.</t>
  </si>
  <si>
    <t>Премии и иные выплаты включаются в заработок за тот месяц, в котором они выплачены. Месяцем их выплаты считается месяц, на который они приходятся согласно лицевому счету, расчетной ведомости. Если в месяце, за который исчисляется заработок, работник отработал не все рабочие дни по графику работы, премии и иные выплаты при исчислении пособий учитываются пропорционально отработанному времени в данном месяце.</t>
  </si>
  <si>
    <t>Выплаты, произведенные за периоды, исключаемые при определении среднедневного заработка согласно части второй пункта 22 настоящего Положения, а также выплаты, право на которые не утрачивается работником в связи с временной нетрудоспособностью, беременностью и родами, в заработок для исчисления пособий не включаются.</t>
  </si>
  <si>
    <t>Заработок для исчисления пособий за каждый календарный месяц расчетного периода не может превышать сумму, на которую начисляются обязательные страховые взносы в соответствии с законодательством.</t>
  </si>
  <si>
    <t>25. Размер пособия по временной нетрудоспособности исчисляется путем умножения размера среднедневного заработка с учетом положений части первой пункта 16 и пункта 20 настоящего Положения, на число календарных дней, удостоверенных листком нетрудоспособности (за исключением периодов, указанных в подпунктах 9.3–9.8 пункта 9 настоящего Положения).</t>
  </si>
  <si>
    <t>Размер пособия по беременности и родам исчисляется путем умножения размера среднедневного заработка на число календарных дней, удостоверенных листком нетрудоспособности (за исключением периодов, за которые начислялась заработная плата или сохранялся средний заработок в соответствии с законодательством).</t>
  </si>
  <si>
    <t>Для исчисления пособий принимается сумма дохода, с которой уплачены обязательные страховые взносы в бюджет фонда. Размер среднедневного дохода определяется путем деления суммы этого дохода на число календарных дней года, доход за который принят для исчисления пособий. При этом в число дней, на которое делится доход, не включаются периоды, когда лица, указанные в части первой настоящего пункта, не являлись плательщиками обязательных страховых взносов на социальное страхование.</t>
  </si>
  <si>
    <t>Пособия исчисляются за календарные дни в размерах, установленных в пунктах 16–19 настоящего Положения.</t>
  </si>
  <si>
    <t>Размер пособия по временной нетрудоспособности не должен превышать максимальный размер пособия, установленный в пункте 29 настоящего Положения.</t>
  </si>
  <si>
    <t>Размер пособия по беременности и родам не должен превышать суммы обязательных страховых взносов, уплаченных в бюджет фонда за период, за который определяется среднедневной доход. При этом если исчисленный размер пособия по беременности и родам составляет менее минимального размера, установленного в частях четвертой и пятой пункта 16 настоящего Положения, пособие по беременности и родам назначается в минимальном размере.</t>
  </si>
  <si>
    <t>М-ц, предшествующий периоду</t>
  </si>
  <si>
    <t>Начисленная средняя з/п работников по респ.</t>
  </si>
  <si>
    <t xml:space="preserve">Кол-во кал. дней в м-це, за который назначено пособие </t>
  </si>
  <si>
    <t>Кол-во кал. дней, за которое назначено пособие</t>
  </si>
  <si>
    <t>Максимальная сумма пособия</t>
  </si>
  <si>
    <t>январь</t>
  </si>
  <si>
    <t>февраль</t>
  </si>
  <si>
    <t>март</t>
  </si>
  <si>
    <t>апрель</t>
  </si>
  <si>
    <t>май</t>
  </si>
  <si>
    <t>июнь</t>
  </si>
  <si>
    <t>июль</t>
  </si>
  <si>
    <t>август</t>
  </si>
  <si>
    <t>сентябрь</t>
  </si>
  <si>
    <t>октябрь</t>
  </si>
  <si>
    <t>ноябрь</t>
  </si>
  <si>
    <t>декабрь</t>
  </si>
  <si>
    <t>Положение действует с 29.07.2015 года</t>
  </si>
  <si>
    <t>Минимальный размер пособий в месяц устанавливается в размере 50 процентов наибольшей величины бюджета прожиточного минимума в среднем на душу населения, утвержденного Министерством труда и социальной защиты, за два последних квартала относительно каждого месяца, в котором имели место временная нетрудоспособность, отпуск по беременности и родам.</t>
  </si>
  <si>
    <t>17. Пособия лицам, за которых или которыми обязательные страховые взносы на социальное страхование уплачивались в соответствии с законодательством менее чем за 6 месяцев до возникновения права на пособия (кроме пособия по временной нетрудоспособности в связи с заболеванием или травмой, назначаемого молодым специалистам и молодым рабочим (служащим), назначаются в минимальном размере, установленном в частях четвертой и пятой пункта 16 настоящего Положения.</t>
  </si>
  <si>
    <t>В случае переподчинения, реорганизации плательщика, смены собственника его имущества в течение расчетного периода размер среднедневного заработка для исчисления пособия по временной нетрудоспособности определяется его правопреемником с учетом заработка за период работы до указанных изменений на основании сведений о заработке, истребованных плательщиком, назначающим пособие.</t>
  </si>
  <si>
    <t>В число календарных дней расчетного периода, на которые делится заработок, не включаются календарные дни:</t>
  </si>
  <si>
    <t>23. Если число календарных дней расчетного периода с учетом части второй пункта 22 настоящего Положения составляет менее 30 календарных дней, пособия исчисляются исходя из тарифной ставки (оклада) (без надбавок и повышений) работника, установленной(ого) на день возникновения права на пособия (далее – тарифная ставка (оклад), или исходя из среднего заработка, сохраняемого за время трудового и социального (в связи с обучением) отпусков, отпуска по беременности и родам, временной нетрудоспособности (далее – средний заработок) (по более выгодному варианту).</t>
  </si>
  <si>
    <t>26. Индивидуальным предпринимателям, физическим лицам, осуществляющим предусмотренные законодательными актами виды ремесленной деятельности по заявительному принципу без государственной регистрации в качестве индивидуальных предпринимателей, нотариусам, адвокатам, творческим работникам, физическим лицам, осуществляющим деятельность по оказанию услуг в сфере агроэкотуризма без государственной регистрации в качестве индивидуальных предпринимателей, гражданам, работающим в представительствах международных организаций в Республике Беларусь, дипломатических представительствах и консульских учреждениях иностранных государств, аккредитованных в Республике Беларусь (далее – лица, уплачивающие обязательные страховые взносы самостоятельно), пособия исчисляются из размера среднедневного дохода за календарный год, предшествующий году, в котором возникло право на пособия.</t>
  </si>
  <si>
    <t>28. В случае возникновения у работника права на пособие по временной нетрудоспособности в период после или в день объявления простоя за дни простоя с выплатой заработной платы в порядке, установленном законодательством, пособие по временной нетрудоспособности назначается в размерах, установленных в пунктах 16–19, 29 настоящего Положения, но не более размера сохраняемой заработной платы и не менее размера двух третей его тарифной ставки (оклада). Со дня возобновления работы пособие по временной нетрудоспособности исчисляется без указанных ограничений.</t>
  </si>
  <si>
    <t>Если право на пособие по временной нетрудоспособности возникло у работника до дня объявления простоя, пособие исчисляется в общеустановленном порядке.</t>
  </si>
  <si>
    <t>30. Работникам, а также лицам, работающим по гражданско-правовым договорам у юридических лиц, индивидуальных предпринимателей, нотариусов, осуществляющих нотариальную деятельность в нотариальном бюро, адвокатов, осуществляющих адвокатскую деятельность индивидуально, пособия назначаются плательщиком и выплачиваются в счет начисленных обязательных страховых взносов в бюджет фонда.</t>
  </si>
  <si>
    <t>Физическим лицам, являющимся собственниками имущества (участниками, членами, учредителями) юридических лиц и выполняющим функции руководителей этих юридических лиц, пособия назначаются и выплачиваются плательщиком с применением норм настоящего Положения, регулирующих порядок назначения и выплаты пособий работникам.</t>
  </si>
  <si>
    <t>Лицам, уплачивающим обязательные страховые взносы самостоятельно, а также выполняющим работы по гражданско-правовым договорам у физических лиц, пособия назначаются территориальными органами Фонда по месту постановки на учет в качестве плательщиков. Указанные лица уплачивают обязательные страховые взносы в бюджет фонда за вычетом сумм начисленных пособий.</t>
  </si>
  <si>
    <t>31. Работникам, а также лицам, работающим по гражданско-правовым договорам у юридических лиц, индивидуальных предпринимателей, нотариусов, осуществляющих нотариальную деятельность в нотариальном бюро, адвокатов, осуществляющих адвокатскую деятельность индивидуально, пособия назначаются по каждому месту работы.</t>
  </si>
  <si>
    <t>32. Работникам, а также лицам, работающим по гражданско-правовым договорам у юридических лиц, индивидуальных предпринимателей, нотариусов, осуществляющих нотариальную деятельность в нотариальном бюро, адвокатов, осуществляющих адвокатскую деятельность индивидуально, решение о назначении (отказе в назначении) пособия по временной нетрудоспособности в связи с травмой, уходом за ребенком-инвалидом в возрасте до 18 лет в случае его санаторно-курортного лечения, медицинской реабилитации, а также в соответствии с пунктами 9, 19, 35 настоящего Положения принимается комиссией по назначению пособий плательщика.</t>
  </si>
  <si>
    <t>Затем в строке "Расчетный период отработан" выбрать из выпадающего списка "полностью" либо "не полностью". Если  расчетный период отработан не полностью, необходимо указать  условия работы в отношении нормы рабочего времени, т.е.  1, 0.5, 0.25 и т.д. ставки.</t>
  </si>
  <si>
    <t>Далее указываются даты периода отпуска по беременности и родам.</t>
  </si>
  <si>
    <t>Далее в строке "Принцип расчета" указать вариант исходя из чего производится расчет.</t>
  </si>
  <si>
    <t>В том случае если назначается пособие по листку нетрудоспособности, который является продолжением ранее выданного листка , то помимо отражения периода нетрудоспособности, указанного в  данном листке, следует выбрать  слово "да" и ввести дату начала беременности и родов.</t>
  </si>
  <si>
    <t>После заполнения листа "Исходные данные" Вы переходите на лист "Пособие по временной нетрудосп.", на котором размещены две таблицы</t>
  </si>
  <si>
    <t xml:space="preserve">Затем Вы указываете все данные о рабочем времени (отработанные и запланированные по графику дни (часы)) каждого месяца, указываются для определения суммы премии, учитываемой в расчете. Данные вносятся только в ячейки, не выделенные голубым цветом. </t>
  </si>
  <si>
    <t>27. Лицам, выполняющим работы по гражданско-правовому договору, пособия исчисляются из размера среднедневного вознаграждения, с которого уплачены обязательные страховые взносы в бюджет фонда (далее – вознаграждение), выплаченного по этому договору до возникновения права на пособия. Если до возникновения права на пособия вознаграждение по гражданско-правовому договору не выплачено, пособия исчисляются из размера среднедневного первого вознаграждения по данному договору, выплаченного после возникновения права на пособия.</t>
  </si>
  <si>
    <t>Размер среднедневного вознаграждения для исчисления пособий определяется путем деления суммы вознаграждения на число календарных дней периода выполнения работ по гражданско-правовому договору, за который выплачено вознаграждение.</t>
  </si>
  <si>
    <t>Размер пособия по беременности и родам не должен превышать суммы обязательных страховых взносов, уплаченных в бюджет фонда с вознаграждения, из которого исчислялось пособие. При этом если исчисленный размер пособия по беременности и родам составляет менее минимального размера, установленного в частях четвертой и пятой пункта 16 настоящего Положения, пособие по беременности и родам назначается в минимальном размере.</t>
  </si>
  <si>
    <t>29. Максимальный размер пособий, исчисленных в соответствии с настоящим Положением, кроме пособий по беременности и родам, исчисленных в соответствии с частью пятой пункта 26 и частью пятой пункта 27 настоящего Положения, за календарный месяц по каждому месту работы устанавливается в размере трехкратной величины средней заработной платы работников в республике в месяце, предшествующем месяцу, в котором возникло право на пособия.</t>
  </si>
  <si>
    <t>Максимальный размер пособий за неполный календарный месяц определяется в размере величины, получаемой путем деления трехкратной величины средней заработной платы работников в республике в месяце, предшествующем месяцу, в котором возникло право на пособия, на количество календарных дней данного месяца с последующим умножением полученного результата на количество календарных дней освобождения от работы в связи с временной нетрудоспособностью, беременностью и родами согласно листку нетрудоспособности в этом месяце.</t>
  </si>
  <si>
    <t>ГЛАВА 4</t>
  </si>
  <si>
    <t>ПОРЯДОК НАЗНАЧЕНИЯ И ВЫПЛАТЫ ПОСОБИЙ</t>
  </si>
  <si>
    <t>Если суммы подлежащих уплате обязательных страховых взносов в бюджет фонда недостаточно для выплаты пособий, финансирование расходов на их выплату производится в порядке, установленном правлением Фонда.</t>
  </si>
  <si>
    <t>Лицам, уплачивающим обязательные страховые взносы самостоятельно, которые одновременно работают по трудовым договорам, на основе членства (участия) в юридических лицах любых организационно-правовых форм, а также по гражданско-правовым договорам, пособия назначаются территориальными органами Фонда по месту постановки на учет в качестве плательщиков и по каждому месту работы.</t>
  </si>
  <si>
    <t>В случае прекращения работы по трудовому договору, на основе членства (участия) в юридических лицах любых организационно-правовых форм, по гражданско-правовому договору, а также предпринимательской, творческой и иной деятельности, в период которых у лица возникло право на пособия, пособия на периоды, продолжительность которых установлена настоящим Положением, назначаются и выплачиваются в порядке, предусмотренном в пункте 30 настоящего Положения.</t>
  </si>
  <si>
    <t>33. Лицам, у которых временная нетрудоспособность, отпуск по беременности и родам наступили до ликвидации (прекращения деятельности) плательщика и продолжаются после нее, пособия назначаются и выплачиваются правопреемником, а при его отсутствии – плательщиком, определяемым комиссией по назначению пособий территориального органа Фонда.</t>
  </si>
  <si>
    <t>34. Пособия, назначенные в соответствии с пунктом 8 настоящего Положения, выплачиваются по месту прежней работы или плательщиком, определяемым комиссией по назначению пособий территориального органа Фонда.</t>
  </si>
  <si>
    <t>35. Суммы пособий, причитавшиеся получателю и оставшиеся недополученными в связи с его смертью, назначаются по день его смерти членам семьи, проживавшим совместно с ним на день смерти, а также нетрудоспособным иждивенцам независимо от того, проживали ли они совместно с умершим, и выплачиваются им в равных долях.</t>
  </si>
  <si>
    <t>Требования о выплате недополученных сумм пособий могут быть предъявлены в течение шести месяцев со дня смерти получателя.</t>
  </si>
  <si>
    <t>При отсутствии лиц, указанных в части первой настоящего пункта, или непредъявлении требований о выплате недополученных сумм пособий в установленный срок эти суммы включаются в состав наследства и наследуются в порядке, установленном гражданским законодательством.</t>
  </si>
  <si>
    <t>36. Пособия назначаются в течение 10 дней со дня обращения, а в случае запроса либо представления документов и (или) сведений от других государственных органов, иных организаций и (или) получения дополнительной информации, необходимой для назначения пособия, – в течение 1 месяца.</t>
  </si>
  <si>
    <t>Если временная нетрудоспособность продолжалась более 30 календарных дней, пособие по временной нетрудоспособности может быть назначено до ее окончания.</t>
  </si>
  <si>
    <t>Выплата пособий, кроме пособий, назначенных лицам, указанным в части первой пункта 26 настоящего Положения, осуществляется в дни, установленные для выплаты заработной платы.</t>
  </si>
  <si>
    <t>Пособие по беременности и родам выплачивается единовременно за весь период, удостоверенный листком нетрудоспособности.</t>
  </si>
  <si>
    <t>37. Контроль за правильностью расходования плательщиками средств государственного социального страхования на выплату пособий осуществляется в порядке, установленном законодательством.</t>
  </si>
  <si>
    <t>38. Не принимаются к зачету в счет обязательных страховых взносов в бюджет фонда расходы на выплату пособий в случаях:</t>
  </si>
  <si>
    <t>исчисления пособий с нарушением законодательства;</t>
  </si>
  <si>
    <t>исчисления пособий на основании листков нетрудоспособности, оформленных с нарушением установленных требований;</t>
  </si>
  <si>
    <t>завышения плательщиком размеров пособий.</t>
  </si>
  <si>
    <t>39. Излишне выплаченные суммы пособий (вследствие представления документов с заведомо недостоверными сведениями, непредставления либо несвоевременного представления сведений о наступлении обстоятельств, влияющих на право получения пособий или на их размер, а также вследствие иных переплат) подлежат возврату получателем пособия.</t>
  </si>
  <si>
    <t>В случае отказа получателя пособия от возврата излишне выплаченных сумм пособий в добровольном порядке на основании решения комиссии по назначению пособий плательщика их удержание производится ежемесячно до полного погашения задолженности из сумм пособий, заработной платы или иного дохода в размере не более 20 процентов от суммы пособий в месяц. При прекращении выплаты пособий, заработной платы или иного дохода оставшаяся задолженность взыскивается с получателя пособия в судебном порядке.</t>
  </si>
  <si>
    <t>Другие удержания из пособий производятся в случаях, установленных законодательством.</t>
  </si>
  <si>
    <t>40. Решения по назначению пособий могут быть обжалованы в территориальные органы Фонда по месту постановки плательщика на учет.</t>
  </si>
  <si>
    <t>Решения по назначению пособий, принятые территориальными органами Фонда, могут быть обжалованы в вышестоящий орган Фонда.</t>
  </si>
  <si>
    <t>В случае несогласия с решениями, принятыми органами, указанными в частях первой и второй настоящего пункта, спор разрешается в судебном порядке.</t>
  </si>
  <si>
    <t>Короленко Елена Владимировна</t>
  </si>
  <si>
    <t xml:space="preserve">    Расчет пособия по временной нетрудоспособности производится в соответствии с Положением о порядке обеспечения пособиями по временной нетрудоспособности и по беременности и родам, утвержденным постановлением Совета Министров РБ от 28.06.2013 № 569. </t>
  </si>
  <si>
    <t xml:space="preserve">    В ячейках с голубым цветом содержатся формулы - это обозначает, что заполнение данных ячеек происходит автоматически. Не рекомендуется удалять информацию из данных ячеек! Заполнять необходимо незакрашенные ячейки. </t>
  </si>
  <si>
    <t xml:space="preserve">Расчет пособия по временной нетрудоспосбности производится в следующей последовательности: 
заходите на лист "исходные данные" и в таблице "перечень сотрудников" вносите информацию по сотрудникам Вашей организации. Затем на листе "Исходные данные для расчета пособия", расположенном справа, укажите всю информацию для расчета пособия по временной нетрудоспособности. Из раскрывающегося списка выберите фамилию, имя и отчество сотрудника, табельный номер отобразится автоматически. </t>
  </si>
  <si>
    <t xml:space="preserve">    Таблица, расположенная ниже, заполняется автоматически на основе данных, занесенных в таблицу "Расчет среднедневного заработка".</t>
  </si>
  <si>
    <t xml:space="preserve">Рекомендации по заполнению калькулятора </t>
  </si>
  <si>
    <t>ПЕРЕЧЕНЬ СОТРУДНИКОВ</t>
  </si>
  <si>
    <t>№ п/п</t>
  </si>
  <si>
    <t>Фамилия, имя, отчество</t>
  </si>
  <si>
    <t>Табельный номер</t>
  </si>
  <si>
    <t>Сотрудник</t>
  </si>
  <si>
    <t>Вид нетрудоспособности</t>
  </si>
  <si>
    <t>Заболевание общее</t>
  </si>
  <si>
    <t>Принцип расчета</t>
  </si>
  <si>
    <t>Расчет производится исходя из среднего заработка, сохраненного за работником в расчетном периоде в соответствии с законодательством</t>
  </si>
  <si>
    <t>да</t>
  </si>
  <si>
    <t>нет</t>
  </si>
  <si>
    <t>Листок нетрудоспособности является продолжением ранее выданного листка</t>
  </si>
  <si>
    <t>табл. 1</t>
  </si>
  <si>
    <t>100% с первого дня</t>
  </si>
  <si>
    <t>1 м-ц</t>
  </si>
  <si>
    <t>2 м-ц</t>
  </si>
  <si>
    <t>3 м-ц</t>
  </si>
  <si>
    <t>обший порядок</t>
  </si>
  <si>
    <t>Заболевание общее, алкогольное опьянение</t>
  </si>
  <si>
    <t>50% от положенного , первые 6 дней неоплачиваются</t>
  </si>
  <si>
    <t>Заболевание общее, заболевание, связанное с употреб.алк.</t>
  </si>
  <si>
    <t>Травма в быту</t>
  </si>
  <si>
    <t>Травма в быту, алк.опьянение</t>
  </si>
  <si>
    <t>Уход за больн. членом семьи  (ребенком до 14 лет, реб.-инв. до 18 лет)</t>
  </si>
  <si>
    <t>Уход за больным членом семьи (достигшим 14 лет)</t>
  </si>
  <si>
    <t>Уход за ребенком до 3-х лет в случае болезни матери</t>
  </si>
  <si>
    <t>Уход за  ребенком-инвалидом до 18 лет в сл. болезни матери (лица, осущ. уход)</t>
  </si>
  <si>
    <t>Сан.-курортн.лечение, мед. реабилитация ребенка-инвалида до 18 лет</t>
  </si>
  <si>
    <t>Протезирование</t>
  </si>
  <si>
    <t>Карантин</t>
  </si>
  <si>
    <t>Расчет производится исходя из среднедневного заработка</t>
  </si>
  <si>
    <t>Расчет производится исходя из тарифной ставки (оклада) (без надбавок и повышений)</t>
  </si>
  <si>
    <t>Расчет производится в минимальном размере</t>
  </si>
  <si>
    <t>Исходные данные для расчета пособия</t>
  </si>
  <si>
    <t>Январь</t>
  </si>
  <si>
    <t>Декабрь</t>
  </si>
  <si>
    <t>Февраль</t>
  </si>
  <si>
    <t>Март</t>
  </si>
  <si>
    <t>Апрель</t>
  </si>
  <si>
    <t>Май</t>
  </si>
  <si>
    <t>Июнь</t>
  </si>
  <si>
    <t>Июль</t>
  </si>
  <si>
    <t>Август</t>
  </si>
  <si>
    <t>Сентябрь</t>
  </si>
  <si>
    <t>Октябрь</t>
  </si>
  <si>
    <t>Ноябрь</t>
  </si>
  <si>
    <t>месяц</t>
  </si>
  <si>
    <t xml:space="preserve">Номинальная начисленная средняя заработная плата в Республике Беларусь, рублей </t>
  </si>
  <si>
    <t>Год</t>
  </si>
  <si>
    <t xml:space="preserve"> В ценах
  месяца</t>
  </si>
  <si>
    <t>В среднем  на душу населения, руб.</t>
  </si>
  <si>
    <t>Макс</t>
  </si>
  <si>
    <t>Листок нетрудоспособности</t>
  </si>
  <si>
    <t>Серия</t>
  </si>
  <si>
    <t>Номер</t>
  </si>
  <si>
    <t>Период нетрудоспособности с</t>
  </si>
  <si>
    <t>наименование</t>
  </si>
  <si>
    <t>надбавка</t>
  </si>
  <si>
    <t>Итого</t>
  </si>
  <si>
    <t>К РАСЧЕТУ</t>
  </si>
  <si>
    <t>ВСЕГО</t>
  </si>
  <si>
    <t>НАЗНАЧЕНО ПОСОБИЕ</t>
  </si>
  <si>
    <t>Месяц</t>
  </si>
  <si>
    <t>Размер,%</t>
  </si>
  <si>
    <t>Минимальный размер, руб.</t>
  </si>
  <si>
    <t>х</t>
  </si>
  <si>
    <t>ИТОГО</t>
  </si>
  <si>
    <t>ВСЕГО К ВЫПЛАТЕ</t>
  </si>
  <si>
    <t>(сумма прописью)</t>
  </si>
  <si>
    <t>Включено в платежную ведомость за</t>
  </si>
  <si>
    <t>(прописью)</t>
  </si>
  <si>
    <t>по</t>
  </si>
  <si>
    <t>1. Исходные данные для расчета пособия</t>
  </si>
  <si>
    <t>2. Расчет среднедневного заработка</t>
  </si>
  <si>
    <t>Периоды, за которые рассчитывается пособие</t>
  </si>
  <si>
    <t>Беременность и роды</t>
  </si>
  <si>
    <t>0245698</t>
  </si>
  <si>
    <t>Расчетный период отработан</t>
  </si>
  <si>
    <t>Размер ставки 1; 0,5; 0,25</t>
  </si>
  <si>
    <t>не полностью</t>
  </si>
  <si>
    <t>полностью</t>
  </si>
  <si>
    <t>РАСЧЕТ ПОСОБИЯ ПО БЕРЕМЕННОСТИ И РОДАМ</t>
  </si>
  <si>
    <t>Виды оплаты труда, включаемые в расчет среднего заработка</t>
  </si>
  <si>
    <t>Расчетный период</t>
  </si>
  <si>
    <t>4 м-ц</t>
  </si>
  <si>
    <t>5 м-ц</t>
  </si>
  <si>
    <t>6 м-ц</t>
  </si>
  <si>
    <t>РАСЧЕТ МАКСИМАЛЬНОЙ СУММЫ ПОСОБИЯ</t>
  </si>
  <si>
    <t>сумма, руб.</t>
  </si>
  <si>
    <t>Количество отработанных дней (часов) в данном месяце</t>
  </si>
  <si>
    <t>Количество плановых дней (часов) по графику</t>
  </si>
  <si>
    <t>Расчетная сумма, руб.</t>
  </si>
  <si>
    <t>Предел</t>
  </si>
  <si>
    <t>Заработная плата, доплаты, надбавки</t>
  </si>
  <si>
    <t>Премия либо иные выплаты</t>
  </si>
  <si>
    <t xml:space="preserve">премия </t>
  </si>
  <si>
    <t xml:space="preserve">количество календарных дней в данном месяце </t>
  </si>
  <si>
    <t>Число календарных дней, которые не включаются в календарные дни расчетного периода</t>
  </si>
  <si>
    <t>Календарное количество дней расчетного периода</t>
  </si>
  <si>
    <t>Среднедневной заработок для расчета пособия, руб.</t>
  </si>
  <si>
    <t>Заглавная без НДС</t>
  </si>
  <si>
    <t xml:space="preserve">Сегодня с утра судя по всему было </t>
  </si>
  <si>
    <t>Заглавная с НДС</t>
  </si>
  <si>
    <t>маленькая без НДС</t>
  </si>
  <si>
    <t>маленькая с НДС</t>
  </si>
  <si>
    <t>рублей</t>
  </si>
  <si>
    <t xml:space="preserve">один </t>
  </si>
  <si>
    <t xml:space="preserve">одна </t>
  </si>
  <si>
    <t xml:space="preserve">десять </t>
  </si>
  <si>
    <t xml:space="preserve">два </t>
  </si>
  <si>
    <t xml:space="preserve">две </t>
  </si>
  <si>
    <t xml:space="preserve">одиннадцать </t>
  </si>
  <si>
    <t xml:space="preserve">двадцать </t>
  </si>
  <si>
    <t xml:space="preserve">двести </t>
  </si>
  <si>
    <t xml:space="preserve">три </t>
  </si>
  <si>
    <t xml:space="preserve">двенадцать </t>
  </si>
  <si>
    <t xml:space="preserve">тридцать </t>
  </si>
  <si>
    <t xml:space="preserve">триста </t>
  </si>
  <si>
    <t xml:space="preserve">четыре </t>
  </si>
  <si>
    <t xml:space="preserve">тринадцать </t>
  </si>
  <si>
    <t xml:space="preserve">сорок </t>
  </si>
  <si>
    <t xml:space="preserve">четыреста </t>
  </si>
  <si>
    <t xml:space="preserve">пять </t>
  </si>
  <si>
    <t xml:space="preserve">четырнадцать </t>
  </si>
  <si>
    <t xml:space="preserve">пятьдесят </t>
  </si>
  <si>
    <t xml:space="preserve">пятьсот </t>
  </si>
  <si>
    <t xml:space="preserve">шесть </t>
  </si>
  <si>
    <t xml:space="preserve">пятнадцать </t>
  </si>
  <si>
    <t xml:space="preserve">шестьдесят </t>
  </si>
  <si>
    <t xml:space="preserve">шестьсот </t>
  </si>
  <si>
    <t xml:space="preserve">семь </t>
  </si>
  <si>
    <t xml:space="preserve">шестнадцать </t>
  </si>
  <si>
    <t xml:space="preserve">семьдесят </t>
  </si>
  <si>
    <t xml:space="preserve">семьсот </t>
  </si>
  <si>
    <t xml:space="preserve">восемь </t>
  </si>
  <si>
    <t xml:space="preserve">семнадцать </t>
  </si>
  <si>
    <t xml:space="preserve">восемьдесят </t>
  </si>
  <si>
    <t>05.11.2013 - ячейка j60 исправлена формула</t>
  </si>
  <si>
    <t>28.11.2013 - доработан макрос, привыборе мин.размера расчета, скрываются цифры в графах</t>
  </si>
  <si>
    <t>11.12.2013 - отображен лист "Информация"</t>
  </si>
  <si>
    <t>30.12.2013-добавлена информаци по сред.з.п.</t>
  </si>
  <si>
    <t xml:space="preserve">восемьсот </t>
  </si>
  <si>
    <t xml:space="preserve">девять </t>
  </si>
  <si>
    <t xml:space="preserve">восемнадцать </t>
  </si>
  <si>
    <t xml:space="preserve">девяносто </t>
  </si>
  <si>
    <t xml:space="preserve">девятьсот </t>
  </si>
  <si>
    <t xml:space="preserve">девятнадцать </t>
  </si>
  <si>
    <t xml:space="preserve">сто </t>
  </si>
  <si>
    <t>К выплате, руб.</t>
  </si>
  <si>
    <t>Сумма, руб.</t>
  </si>
  <si>
    <t xml:space="preserve">Количество календарных дней </t>
  </si>
  <si>
    <t>Максимальный размер, руб.</t>
  </si>
  <si>
    <t>(должностоне лицо)</t>
  </si>
  <si>
    <t>(подпись)</t>
  </si>
  <si>
    <t>(расшифровка подписи)</t>
  </si>
  <si>
    <t xml:space="preserve">Период нетрудоспособности с </t>
  </si>
  <si>
    <t xml:space="preserve">Сумма пособия  к выплате (руб.) </t>
  </si>
  <si>
    <t xml:space="preserve">Информация о заработке, принимаемом к расчету пособия </t>
  </si>
  <si>
    <t>Календарное количество дней</t>
  </si>
  <si>
    <t>Сумма  фактического заработка, руб.</t>
  </si>
  <si>
    <t>Пособие по временной нетрудоспособности</t>
  </si>
  <si>
    <t>Период</t>
  </si>
  <si>
    <t>Количество календарных дней  нетрудоспособности</t>
  </si>
  <si>
    <t>Сумма расcчитанного пособия, руб.</t>
  </si>
  <si>
    <t>Рассчитанная максимальная сумма пособия, руб.</t>
  </si>
  <si>
    <t xml:space="preserve">ВСЕГО к выплате сумма прописью, руб: </t>
  </si>
  <si>
    <t>Попов Леонид Петрович</t>
  </si>
  <si>
    <t>Ефимов Сергей Владимирович</t>
  </si>
  <si>
    <t>АБ</t>
  </si>
  <si>
    <t>тарифная ставка</t>
  </si>
  <si>
    <t>Главный бухгалтер</t>
  </si>
  <si>
    <t>Г.С.Степанова</t>
  </si>
  <si>
    <t xml:space="preserve">Начисленная средняя заработная плата работников
в Республике Беларусь 
</t>
  </si>
  <si>
    <t>Голубой цвет обозначает, что заполнение данных ячеек происходит автоматически</t>
  </si>
  <si>
    <t>Начало временной нетрудоспособности</t>
  </si>
  <si>
    <t>УТВЕРЖДЕНО</t>
  </si>
  <si>
    <t xml:space="preserve">Постановление </t>
  </si>
  <si>
    <t xml:space="preserve">Совета Министров </t>
  </si>
  <si>
    <t>Республики Беларусь</t>
  </si>
  <si>
    <t>28.06.2013 № 569</t>
  </si>
  <si>
    <t>ПОЛОЖЕНИЕ</t>
  </si>
  <si>
    <t>о порядке обеспечения пособиями по временной нетрудоспособности и по беременности и родам</t>
  </si>
  <si>
    <t>ГЛАВА 1</t>
  </si>
  <si>
    <t>ОБЩИЕ ПОЛОЖЕНИЯ</t>
  </si>
  <si>
    <t>1. Настоящим Положением регулируется порядок обеспечения пособиями по временной нетрудоспособности (кроме пособий по временной нетрудоспособности в связи с несчастными случаями на производстве и профессиональными заболеваниями) и по беременности и родам (далее, если не определено иное, – пособия).</t>
  </si>
  <si>
    <t>2. В соответствии с настоящим Положением назначаются пособия:</t>
  </si>
  <si>
    <t>2.1. по временной нетрудоспособности в случаях:</t>
  </si>
  <si>
    <t>утраты трудоспособности в связи с заболеванием или травмой в быту (далее – травма);</t>
  </si>
  <si>
    <t>ухода за больным членом семьи, в том числе за больным ребенком в возрасте до 14 лет (ребенком-инвалидом в возрасте до 18 лет) (далее, если не определено иное, – уход за больным членом семьи);</t>
  </si>
  <si>
    <t>ухода за ребенком в возрасте до 3 лет и ребенком-инвалидом в возрасте до 18 лет в случае болезни матери либо другого лица, фактически осуществляющего уход за ребенком;</t>
  </si>
  <si>
    <t>ухода за ребенком-инвалидом в возрасте до 18 лет в случае его санаторно-курортного лечения, медицинской реабилитации;</t>
  </si>
  <si>
    <t>протезирования, осуществляемого в рамках оказания медицинской помощи в стационарных условиях протезно-ортопедической организации;</t>
  </si>
  <si>
    <t>карантина;</t>
  </si>
  <si>
    <t>2.2. по беременности и родам в связи с беременностью и родами, а также усыновлением (удочерением), установлением опеки над ребенком в возрасте до 3 месяцев.</t>
  </si>
  <si>
    <t>Право на пособия в соответствии с настоящим Положением имеют лица, занятые деятельностью, в период осуществления которой на них распространяется государственное социальное страхование и за них, а также ими самими в предусмотренных законодательством случаях уплачиваются обязательные страховые взносы на социальное страхование.</t>
  </si>
  <si>
    <t>Одновременно одному лицу не может назначаться более одного пособия, предусмотренного в подпунктах 2.1 и 2.2 настоящего пункта, по каждому месту работы.</t>
  </si>
  <si>
    <t>3. Пособия назначаются на основании листка нетрудоспособности, выданного и оформленного в порядке, установленном законодательством.</t>
  </si>
  <si>
    <t>4. Днем возникновения права на пособия является первый день освобождения от работы в связи с временной нетрудоспособностью, беременностью и родами, а также усыновлением (удочерением), установлением опеки над ребенком в возрасте до 3 месяцев согласно листку нетрудоспособности.</t>
  </si>
  <si>
    <t>Пособие по беременности и родам назначается, если обращение за ним последовало не позднее 6 месяцев со дня возникновения права на пособие.</t>
  </si>
  <si>
    <t>Пособие по временной нетрудоспособности назначается, если обращение за ним последовало не позднее 6 месяцев со дня, следующего за днем окончания периода освобождения от работы в связи с временной нетрудоспособностью.</t>
  </si>
  <si>
    <t>Пособия не назначаются при обращении за ними по истечении сроков, указанных в частях второй и третьей настоящего пункта.</t>
  </si>
  <si>
    <t>5. Пособия выплачиваются за счет средств бюджета государственного внебюджетного фонда социальной защиты населения Республики Беларусь (далее – бюджет фонда).</t>
  </si>
  <si>
    <t>ГЛАВА 2</t>
  </si>
  <si>
    <t>ПРАВО НА ПОСОБИЯ В ОТДЕЛЬНЫХ СЛУЧАЯХ. ПЕРИОД, НА КОТОРЫЙ НАЗНАЧАЮТСЯ ПОСОБИЯ</t>
  </si>
  <si>
    <t>6. Лицам, работающим по трудовым договорам, на основе членства (участия) в юридических лицах любых организационно-правовых форм (далее – работники), находящимся в трудовом отпуске, пособия назначаются в случае наступления у них в период указанного отпуска временной нетрудоспособности (кроме случаев ухода за больным членом семьи; за ребенком в возрасте до 3 лет и ребенком-инвалидом в возрасте до 18 лет в случае болезни матери либо другого лица, фактически осуществляющего уход за ребенком; за ребенком-инвалидом в возрасте до 18 лет в случае его санаторно-курортного лечения, медицинской реабилитации), отпуска по беременности и родам.</t>
  </si>
  <si>
    <t>Трудовой отпуск в случаях, указанных в части первой настоящего пункта, продлевается (переносится) в порядке, установленном законодательством.</t>
  </si>
  <si>
    <t>7. Работникам, находящимся в отпуске по уходу за ребенком до достижения им возраста трех лет:</t>
  </si>
  <si>
    <t>пособие по временной нетрудоспособности не назначается, за исключением случаев, указанных в абзаце третьем настоящего пункта;</t>
  </si>
  <si>
    <t>работающим в период указанного отпуска на условиях неполного рабочего времени (не более половины месячной нормы рабочего времени) или на дому, пособие по временной нетрудоспособности назначается в соответствии с настоящим Положением. При этом в случае ухода за больным ребенком в возрасте до 3 лет пособие по временной нетрудоспособности назначается только лицу, находящемуся в отпуске по уходу за ним;</t>
  </si>
  <si>
    <t>пособие по беременности и родам назначается в соответствии с законодательством.</t>
  </si>
  <si>
    <t>8. Лицам, у которых временная нетрудоспособность в связи с заболеванием или травмой продолжительностью более 30 календарных дней или право на пособие по беременности и родам наступили в течение 30 календарных дней после прекращения трудового договора (кроме трудового договора о работе по совместительству) по уважительным причинам, пособия в порядке исключения назначаются комиссией по назначению пособий областных (Минского городского) управлений Фонда социальной защиты населения Министерства труда и социальной защиты (далее – комиссия по назначению пособий территориального органа Фонда).</t>
  </si>
  <si>
    <t>На период, за который производится выплата пенсии, в случае, указанном в части первой настоящего пункта, пособие по временной нетрудоспособности не назначается.</t>
  </si>
  <si>
    <t>Лицам, зарегистрированным в установленном порядке в качестве безработных, которым пособие по беременности и родам выплачено органом по труду, занятости и социальной защите в случае, указанном в части первой настоящего пункта, пособие по беременности и родам не назначается.</t>
  </si>
  <si>
    <t>9. Пособие по временной нетрудоспособности не назначается:</t>
  </si>
  <si>
    <t>9.1. в случае умышленного причинения вреда своему здоровью в целях уклонения от работы или от других обязанностей;</t>
  </si>
  <si>
    <t>9.2. в случае, если временная нетрудоспособность наступила в связи с травмой, полученной при совершении преступления;</t>
  </si>
  <si>
    <t>9.3. за время принудительного лечения по решению суда (кроме лиц, страдающих психическими расстройствами (заболеваниями), нахождения граждан в лечебно-трудовых профилакториях;</t>
  </si>
  <si>
    <t>9.4. за период нахождения под арестом, за время судебно-медицинской экспертизы, за время отстранения от работы в случаях, предусмотренных статьей 49 Трудового кодекса Республики Беларусь (кроме случаев отстранения от работы органами и учреждениями, осуществляющими государственный санитарный надзор, лиц, являющихся бактерионосителями, и в связи с карантином), а также за период временного отстранения работника от должности в соответствии со статьей 131 Уголовно-процессуального кодекса Республики Беларусь;</t>
  </si>
  <si>
    <t>9.5. за период, за который начислялась заработная плата, а также сохранялся средний заработок полностью или частично в соответствии с законодательством, кроме периодов простоя, оплачиваемых в соответствии со статьей 71 Трудового кодекса Республики Беларусь, трудового отпуска и служебной командировки;</t>
  </si>
  <si>
    <t>9.6. за период отпуска без сохранения заработной платы;</t>
  </si>
  <si>
    <t>9.7. за период после прекращения работы по трудовому договору, на основе членства (участия) в юридических лицах любых организационно-правовых форм, по гражданско-правовому договору, предметом которого являются оказание услуг, выполнение работ и создание объектов интеллектуальной собственности (далее – гражданско-правовой договор), а также предпринимательской, творческой и иной деятельности в случаях, указанных в абзацах третьем–пятом, седьмом подпункта 2.1 пункта 2 настоящего Положения;</t>
  </si>
  <si>
    <t>9.8. за время спора о законности увольнения (в случае восстановления на работе пособие по временной нетрудоспособности выплачивается со дня вынесения решения о восстановлении на работе).</t>
  </si>
  <si>
    <t>10. Пособие по временной нетрудоспособности в случае заболевания или травмы назначается на весь период временной нетрудоспособности до дня ее восстановления или установления инвалидности, но не более чем на 120 календарных дней непрерывно либо не более чем на 150 календарных дней с перерывами за последние 12 месяцев при повторных случаях временной нетрудоспособности в связи с одним либо родственными заболеваниями или травмой, а в связи с заболеванием туберкулезом – не более чем на 180 календарных дней непрерывно или не более чем на 240 календарных дней с перерывами за последние 12 месяцев.</t>
  </si>
  <si>
    <t>Назначение пособия по временной нетрудоспособности на более длительные периоды производится на основании решения медико-реабилитационной экспертной комиссии о продлении лечения.</t>
  </si>
  <si>
    <t>11. Пособие по временной нетрудоспособности лицам, являющимся инвалидами (кроме лиц, указанных в части второй настоящего пункта), в случае заболевания или травмы, связанных с причиной инвалидности, назначается на период временной нетрудоспособности в связи с указанным заболеванием или травмой, но не более чем на 60 календарных дней непрерывно или не более чем на 90 календарных дней с перерывами в календарном году.</t>
  </si>
  <si>
    <t>Пособие по временной нетрудоспособности лицам, являющимся инвалидами, в случае заболевания или травмы, связанных с причиной инвалидности, назначается на период временной нетрудоспособности в связи с указанным заболеванием или травмой, но не более чем на 120 календарных дней непрерывно или не более чем на 150 календарных дней с перерывами в календарном году:</t>
  </si>
  <si>
    <t>инвалидам Великой Отечественной войны и инвалидам боевых действий на территории других государств;</t>
  </si>
  <si>
    <t>участникам Великой Отечественной войны;</t>
  </si>
  <si>
    <t>гражданам, в том числе уволенным в запас (отставку), из числа военнослужащих, лиц начальствующего и рядового состава Следственного комитета, Государственного комитета судебных экспертиз, органов внутренних дел, органов и подразделений по чрезвычайным ситуациям, органов финансовых расследований Комитета государственного контроля, ставших инвалидами вследствие ранения, контузии, увечья или заболевания, полученных при исполнении обязанностей военной службы (служебных обязанностей), кроме случаев, когда инвалидность наступила в результате противоправных действий, по причине алкогольного, наркотического, токсического опьянения, членовредительства;</t>
  </si>
  <si>
    <t>лицам, принимавшим участие в составе специальных формирований в разминировании территорий и объектов после освобождения от немецкой оккупации в 1943–1945 годах;</t>
  </si>
  <si>
    <t>инвалидам, в отношении которых установлена причинная связь увечья или заболевания, приведших к инвалидности, с катастрофой на Чернобыльской АЭС, другими радиационными авариями;</t>
  </si>
  <si>
    <t>лицам, признанным инвалидами вследствие заболевания туберкулезом.</t>
  </si>
  <si>
    <t>Пособие по временной нетрудоспособности лицам, являющимся инвалидами, в случае заболевания или травмы, не связанных с причиной инвалидности, назначается на периоды, установленные в пункте 10 настоящего Положения.</t>
  </si>
  <si>
    <t>12. Ветеранам боевых действий на территории других государств и инвалидам боевых действий на территории других государств, указанным в пунктах 1–3 части первой статьи 3 и пунктах 2, 4 и 7 статьи 4 Закона Республики Беларусь от 17 апреля 1992 года «О ветеранах» (Ведамасцi Вярхоўнага Савета Рэспублiкi Беларусь, 1992 г., № 15, ст. 249; Национальный реестр правовых актов Республики Беларусь, 2001 г., № 67, 2/787), их супругам, а также супругам военнослужащих, лиц начальствующего и рядового состава органов внутренних дел, погибших (умерших) при исполнении воинского или служебного долга в Афганистане либо в других государствах, где велись боевые действия (а равно пропавших без вести в районах ведения боевых действий), не вступившим в новый брак, в случае их направления в государственное учреждение здравоохранения «Витебский областной клинический центр медицинской реабилитации для инвалидов» в порядке, установленном законодательством, пособие по временной нетрудоспособности назначается на период пребывания в указанном учреждении, но не более чем на 24 календарных дня и на время проезда туда и обратно.</t>
  </si>
  <si>
    <t>13. Пособие по временной нетрудоспособности по уходу за больным членом семьи, достигшим 14 лет, при оказании медицинской помощи в амбулаторных условиях назначается лицу, осуществляющему уход за указанным членом семьи, но не более чем на 7 календарных дней по одному случаю заболевания или травмы.</t>
  </si>
  <si>
    <t>14. Пособие по временной нетрудоспособности в случае протезирования при оказании медицинской помощи в стационарных условиях протезно-ортопедической организации назначается на весь период нахождения в указанном стационаре и на время проезда туда и обратно.</t>
  </si>
  <si>
    <t>15. Пособие по временной нетрудоспособности назначается на весь период отстранения от работы в связи с карантином.</t>
  </si>
  <si>
    <t>ГЛАВА 3</t>
  </si>
  <si>
    <t>РАЗМЕРЫ ПОСОБИЙ И ПОРЯДОК ИХ ИСЧИСЛЕНИЯ</t>
  </si>
  <si>
    <t>ноль для копеек</t>
  </si>
  <si>
    <t xml:space="preserve"> копейка</t>
  </si>
  <si>
    <t xml:space="preserve"> копейки</t>
  </si>
  <si>
    <t xml:space="preserve"> копеек</t>
  </si>
  <si>
    <t xml:space="preserve"> рубль</t>
  </si>
  <si>
    <t xml:space="preserve"> рубля</t>
  </si>
  <si>
    <t xml:space="preserve"> рублей</t>
  </si>
  <si>
    <t>(должностное лицо)</t>
  </si>
  <si>
    <t>Минимальный размер пособия, руб.</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</si>
</sst>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419]mmmm;@"/>
    <numFmt numFmtId="174" formatCode="_-* #,##0_р_._-;\-* #,##0_р_._-;_-* &quot;-&quot;??_р_._-;_-@_-"/>
    <numFmt numFmtId="175" formatCode="[$-419]mmmm\ yyyy;@"/>
    <numFmt numFmtId="176" formatCode="d\ mmmm\,\ yyyy"/>
    <numFmt numFmtId="177" formatCode="_-* #,##0.00[$р.-419]_-;\-* #,##0.00[$р.-419]_-;_-* &quot;-&quot;??[$р.-419]_-;_-@_-"/>
    <numFmt numFmtId="178" formatCode="_-* #,##0.00_р_._-;\-* #,##0.00_р_._-;_-* &quot;-&quot;_р_._-;_-@_-"/>
  </numFmts>
  <fonts count="68">
    <font>
      <sz val="10"/>
      <name val="Arial Cyr"/>
      <family val="0"/>
    </font>
    <font>
      <u val="single"/>
      <sz val="10"/>
      <color indexed="12"/>
      <name val="Arial Cyr"/>
      <family val="0"/>
    </font>
    <font>
      <u val="single"/>
      <sz val="10"/>
      <color indexed="20"/>
      <name val="Arial Cyr"/>
      <family val="0"/>
    </font>
    <font>
      <sz val="8"/>
      <name val="Tahoma"/>
      <family val="2"/>
    </font>
    <font>
      <b/>
      <sz val="8"/>
      <name val="Tahoma"/>
      <family val="2"/>
    </font>
    <font>
      <b/>
      <sz val="8"/>
      <color indexed="12"/>
      <name val="Tahoma"/>
      <family val="2"/>
    </font>
    <font>
      <sz val="8"/>
      <color indexed="10"/>
      <name val="Tahoma"/>
      <family val="2"/>
    </font>
    <font>
      <sz val="8"/>
      <name val="Arial Cyr"/>
      <family val="0"/>
    </font>
    <font>
      <sz val="10"/>
      <name val="Tahoma"/>
      <family val="2"/>
    </font>
    <font>
      <sz val="12"/>
      <color indexed="8"/>
      <name val="B_info"/>
      <family val="2"/>
    </font>
    <font>
      <sz val="12"/>
      <color indexed="9"/>
      <name val="B_info"/>
      <family val="2"/>
    </font>
    <font>
      <sz val="12"/>
      <color indexed="62"/>
      <name val="B_info"/>
      <family val="2"/>
    </font>
    <font>
      <b/>
      <sz val="12"/>
      <color indexed="63"/>
      <name val="B_info"/>
      <family val="2"/>
    </font>
    <font>
      <b/>
      <sz val="12"/>
      <color indexed="52"/>
      <name val="B_info"/>
      <family val="2"/>
    </font>
    <font>
      <b/>
      <sz val="15"/>
      <color indexed="56"/>
      <name val="B_info"/>
      <family val="2"/>
    </font>
    <font>
      <b/>
      <sz val="13"/>
      <color indexed="56"/>
      <name val="B_info"/>
      <family val="2"/>
    </font>
    <font>
      <b/>
      <sz val="11"/>
      <color indexed="56"/>
      <name val="B_info"/>
      <family val="2"/>
    </font>
    <font>
      <b/>
      <sz val="12"/>
      <color indexed="8"/>
      <name val="B_info"/>
      <family val="2"/>
    </font>
    <font>
      <b/>
      <sz val="12"/>
      <color indexed="9"/>
      <name val="B_info"/>
      <family val="2"/>
    </font>
    <font>
      <b/>
      <sz val="18"/>
      <color indexed="56"/>
      <name val="Cambria"/>
      <family val="2"/>
    </font>
    <font>
      <sz val="12"/>
      <color indexed="60"/>
      <name val="B_info"/>
      <family val="2"/>
    </font>
    <font>
      <sz val="10"/>
      <name val="Arial"/>
      <family val="2"/>
    </font>
    <font>
      <sz val="12"/>
      <color indexed="20"/>
      <name val="B_info"/>
      <family val="2"/>
    </font>
    <font>
      <i/>
      <sz val="12"/>
      <color indexed="23"/>
      <name val="B_info"/>
      <family val="2"/>
    </font>
    <font>
      <sz val="12"/>
      <color indexed="52"/>
      <name val="B_info"/>
      <family val="2"/>
    </font>
    <font>
      <sz val="12"/>
      <color indexed="10"/>
      <name val="B_info"/>
      <family val="2"/>
    </font>
    <font>
      <sz val="12"/>
      <color indexed="17"/>
      <name val="B_info"/>
      <family val="2"/>
    </font>
    <font>
      <sz val="10"/>
      <name val="Times New Roman CYR"/>
      <family val="1"/>
    </font>
    <font>
      <sz val="11"/>
      <color indexed="8"/>
      <name val="Calibri"/>
      <family val="2"/>
    </font>
    <font>
      <b/>
      <sz val="11"/>
      <name val="Times New Roman CYR"/>
      <family val="1"/>
    </font>
    <font>
      <b/>
      <sz val="9"/>
      <name val="Times New Roman CYR"/>
      <family val="1"/>
    </font>
    <font>
      <sz val="8"/>
      <name val="Times New Roman CYR"/>
      <family val="1"/>
    </font>
    <font>
      <sz val="9"/>
      <name val="Times New Roman CYR"/>
      <family val="1"/>
    </font>
    <font>
      <i/>
      <sz val="8"/>
      <name val="Times New Roman CYR"/>
      <family val="1"/>
    </font>
    <font>
      <sz val="9"/>
      <name val="Times New Roman"/>
      <family val="1"/>
    </font>
    <font>
      <b/>
      <sz val="8"/>
      <color indexed="10"/>
      <name val="Tahoma"/>
      <family val="2"/>
    </font>
    <font>
      <b/>
      <sz val="8"/>
      <color indexed="8"/>
      <name val="Tahoma"/>
      <family val="2"/>
    </font>
    <font>
      <sz val="8"/>
      <color indexed="8"/>
      <name val="Tahoma"/>
      <family val="2"/>
    </font>
    <font>
      <sz val="8"/>
      <color indexed="9"/>
      <name val="Tahoma"/>
      <family val="2"/>
    </font>
    <font>
      <sz val="7"/>
      <color indexed="8"/>
      <name val="Tahoma"/>
      <family val="2"/>
    </font>
    <font>
      <sz val="7"/>
      <name val="Tahoma"/>
      <family val="2"/>
    </font>
    <font>
      <b/>
      <sz val="8"/>
      <color indexed="48"/>
      <name val="Tahoma"/>
      <family val="2"/>
    </font>
    <font>
      <sz val="8"/>
      <color indexed="48"/>
      <name val="Tahoma"/>
      <family val="2"/>
    </font>
    <font>
      <b/>
      <sz val="10"/>
      <name val="Tahoma"/>
      <family val="2"/>
    </font>
    <font>
      <b/>
      <sz val="10"/>
      <color indexed="48"/>
      <name val="Tahoma"/>
      <family val="2"/>
    </font>
    <font>
      <b/>
      <sz val="12"/>
      <color indexed="48"/>
      <name val="Tahoma"/>
      <family val="2"/>
    </font>
    <font>
      <sz val="8"/>
      <color indexed="43"/>
      <name val="Tahoma"/>
      <family val="2"/>
    </font>
    <font>
      <b/>
      <sz val="12"/>
      <name val="Tahoma"/>
      <family val="2"/>
    </font>
    <font>
      <sz val="6"/>
      <color indexed="43"/>
      <name val="Tahoma"/>
      <family val="2"/>
    </font>
    <font>
      <b/>
      <sz val="6"/>
      <color indexed="43"/>
      <name val="Tahoma"/>
      <family val="2"/>
    </font>
    <font>
      <b/>
      <sz val="9"/>
      <color indexed="8"/>
      <name val="Tahoma"/>
      <family val="2"/>
    </font>
    <font>
      <sz val="10"/>
      <color indexed="43"/>
      <name val="Arial Cyr"/>
      <family val="0"/>
    </font>
    <font>
      <b/>
      <sz val="12"/>
      <color indexed="43"/>
      <name val="Arial Cyr"/>
      <family val="2"/>
    </font>
    <font>
      <sz val="8"/>
      <color indexed="43"/>
      <name val="Arial Cyr"/>
      <family val="2"/>
    </font>
    <font>
      <b/>
      <sz val="10"/>
      <color indexed="43"/>
      <name val="Arial Cyr"/>
      <family val="0"/>
    </font>
    <font>
      <sz val="10"/>
      <color indexed="43"/>
      <name val="Times New Roman"/>
      <family val="1"/>
    </font>
    <font>
      <sz val="9"/>
      <color indexed="43"/>
      <name val="Arial Cyr"/>
      <family val="2"/>
    </font>
    <font>
      <u val="single"/>
      <sz val="10"/>
      <color indexed="43"/>
      <name val="Arial Cyr"/>
      <family val="0"/>
    </font>
    <font>
      <b/>
      <sz val="8"/>
      <color indexed="43"/>
      <name val="Tahoma"/>
      <family val="2"/>
    </font>
    <font>
      <sz val="6"/>
      <name val="Tahoma"/>
      <family val="2"/>
    </font>
    <font>
      <sz val="10"/>
      <name val="Helv"/>
      <family val="2"/>
    </font>
    <font>
      <b/>
      <i/>
      <sz val="8"/>
      <color indexed="43"/>
      <name val="Tahoma"/>
      <family val="2"/>
    </font>
    <font>
      <sz val="11"/>
      <color indexed="43"/>
      <name val="Times New Roman"/>
      <family val="1"/>
    </font>
    <font>
      <b/>
      <i/>
      <sz val="8"/>
      <color indexed="10"/>
      <name val="Tahoma"/>
      <family val="2"/>
    </font>
    <font>
      <sz val="11"/>
      <color indexed="9"/>
      <name val="Calibri"/>
      <family val="2"/>
    </font>
    <font>
      <sz val="11"/>
      <color theme="1"/>
      <name val="Calibri"/>
      <family val="2"/>
    </font>
    <font>
      <sz val="11"/>
      <color theme="0"/>
      <name val="Calibri"/>
      <family val="2"/>
    </font>
    <font>
      <b/>
      <sz val="8"/>
      <name val="Arial Cyr"/>
      <family val="2"/>
    </font>
  </fonts>
  <fills count="45">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26"/>
        <bgColor indexed="64"/>
      </patternFill>
    </fill>
  </fills>
  <borders count="53">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style="thin"/>
      <right style="thin"/>
      <top>
        <color indexed="63"/>
      </top>
      <bottom style="hair"/>
    </border>
    <border>
      <left>
        <color indexed="63"/>
      </left>
      <right style="thin"/>
      <top>
        <color indexed="63"/>
      </top>
      <bottom style="hair"/>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style="hair"/>
      <bottom style="hair"/>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color indexed="63"/>
      </top>
      <bottom style="hair"/>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hair"/>
    </border>
    <border>
      <left>
        <color indexed="63"/>
      </left>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thin"/>
      <top style="hair"/>
      <bottom style="hair"/>
    </border>
    <border>
      <left>
        <color indexed="63"/>
      </left>
      <right style="thin"/>
      <top style="hair"/>
      <bottom style="hair"/>
    </border>
    <border>
      <left style="thin"/>
      <right style="thin"/>
      <top style="hair"/>
      <bottom style="thin"/>
    </border>
    <border>
      <left>
        <color indexed="63"/>
      </left>
      <right style="thin"/>
      <top style="hair"/>
      <bottom style="thin"/>
    </border>
    <border>
      <left style="thin"/>
      <right style="thin"/>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color indexed="63"/>
      </top>
      <bottom>
        <color indexed="63"/>
      </bottom>
    </border>
    <border>
      <left style="thin"/>
      <right style="medium"/>
      <top>
        <color indexed="63"/>
      </top>
      <bottom>
        <color indexed="63"/>
      </bottom>
    </border>
    <border>
      <left style="hair"/>
      <right>
        <color indexed="63"/>
      </right>
      <top style="hair"/>
      <bottom style="hair"/>
    </border>
    <border>
      <left>
        <color indexed="63"/>
      </left>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hair"/>
    </border>
    <border>
      <left style="thin"/>
      <right>
        <color indexed="63"/>
      </right>
      <top>
        <color indexed="63"/>
      </top>
      <bottom style="thin"/>
    </border>
    <border>
      <left>
        <color indexed="63"/>
      </left>
      <right>
        <color indexed="63"/>
      </right>
      <top style="hair"/>
      <bottom style="thin"/>
    </border>
    <border>
      <left>
        <color indexed="63"/>
      </left>
      <right>
        <color indexed="63"/>
      </right>
      <top style="thin"/>
      <bottom>
        <color indexed="63"/>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65" fillId="3" borderId="0" applyNumberFormat="0" applyBorder="0" applyAlignment="0" applyProtection="0"/>
    <xf numFmtId="0" fontId="9" fillId="4" borderId="0" applyNumberFormat="0" applyBorder="0" applyAlignment="0" applyProtection="0"/>
    <xf numFmtId="0" fontId="65" fillId="5" borderId="0" applyNumberFormat="0" applyBorder="0" applyAlignment="0" applyProtection="0"/>
    <xf numFmtId="0" fontId="9" fillId="6" borderId="0" applyNumberFormat="0" applyBorder="0" applyAlignment="0" applyProtection="0"/>
    <xf numFmtId="0" fontId="65" fillId="7" borderId="0" applyNumberFormat="0" applyBorder="0" applyAlignment="0" applyProtection="0"/>
    <xf numFmtId="0" fontId="9" fillId="8" borderId="0" applyNumberFormat="0" applyBorder="0" applyAlignment="0" applyProtection="0"/>
    <xf numFmtId="0" fontId="65" fillId="9" borderId="0" applyNumberFormat="0" applyBorder="0" applyAlignment="0" applyProtection="0"/>
    <xf numFmtId="0" fontId="9" fillId="10" borderId="0" applyNumberFormat="0" applyBorder="0" applyAlignment="0" applyProtection="0"/>
    <xf numFmtId="0" fontId="65" fillId="11" borderId="0" applyNumberFormat="0" applyBorder="0" applyAlignment="0" applyProtection="0"/>
    <xf numFmtId="0" fontId="9" fillId="12" borderId="0" applyNumberFormat="0" applyBorder="0" applyAlignment="0" applyProtection="0"/>
    <xf numFmtId="0" fontId="65" fillId="13" borderId="0" applyNumberFormat="0" applyBorder="0" applyAlignment="0" applyProtection="0"/>
    <xf numFmtId="0" fontId="9" fillId="14" borderId="0" applyNumberFormat="0" applyBorder="0" applyAlignment="0" applyProtection="0"/>
    <xf numFmtId="0" fontId="65" fillId="15" borderId="0" applyNumberFormat="0" applyBorder="0" applyAlignment="0" applyProtection="0"/>
    <xf numFmtId="0" fontId="9" fillId="16" borderId="0" applyNumberFormat="0" applyBorder="0" applyAlignment="0" applyProtection="0"/>
    <xf numFmtId="0" fontId="65" fillId="17" borderId="0" applyNumberFormat="0" applyBorder="0" applyAlignment="0" applyProtection="0"/>
    <xf numFmtId="0" fontId="9" fillId="18" borderId="0" applyNumberFormat="0" applyBorder="0" applyAlignment="0" applyProtection="0"/>
    <xf numFmtId="0" fontId="65" fillId="19" borderId="0" applyNumberFormat="0" applyBorder="0" applyAlignment="0" applyProtection="0"/>
    <xf numFmtId="0" fontId="9" fillId="8" borderId="0" applyNumberFormat="0" applyBorder="0" applyAlignment="0" applyProtection="0"/>
    <xf numFmtId="0" fontId="65" fillId="20" borderId="0" applyNumberFormat="0" applyBorder="0" applyAlignment="0" applyProtection="0"/>
    <xf numFmtId="0" fontId="9" fillId="14" borderId="0" applyNumberFormat="0" applyBorder="0" applyAlignment="0" applyProtection="0"/>
    <xf numFmtId="0" fontId="65" fillId="21" borderId="0" applyNumberFormat="0" applyBorder="0" applyAlignment="0" applyProtection="0"/>
    <xf numFmtId="0" fontId="9" fillId="22" borderId="0" applyNumberFormat="0" applyBorder="0" applyAlignment="0" applyProtection="0"/>
    <xf numFmtId="0" fontId="65" fillId="23" borderId="0" applyNumberFormat="0" applyBorder="0" applyAlignment="0" applyProtection="0"/>
    <xf numFmtId="0" fontId="10" fillId="24" borderId="0" applyNumberFormat="0" applyBorder="0" applyAlignment="0" applyProtection="0"/>
    <xf numFmtId="0" fontId="66" fillId="25" borderId="0" applyNumberFormat="0" applyBorder="0" applyAlignment="0" applyProtection="0"/>
    <xf numFmtId="0" fontId="10" fillId="16" borderId="0" applyNumberFormat="0" applyBorder="0" applyAlignment="0" applyProtection="0"/>
    <xf numFmtId="0" fontId="66" fillId="26" borderId="0" applyNumberFormat="0" applyBorder="0" applyAlignment="0" applyProtection="0"/>
    <xf numFmtId="0" fontId="10" fillId="18" borderId="0" applyNumberFormat="0" applyBorder="0" applyAlignment="0" applyProtection="0"/>
    <xf numFmtId="0" fontId="66" fillId="27" borderId="0" applyNumberFormat="0" applyBorder="0" applyAlignment="0" applyProtection="0"/>
    <xf numFmtId="0" fontId="10" fillId="28" borderId="0" applyNumberFormat="0" applyBorder="0" applyAlignment="0" applyProtection="0"/>
    <xf numFmtId="0" fontId="66" fillId="29" borderId="0" applyNumberFormat="0" applyBorder="0" applyAlignment="0" applyProtection="0"/>
    <xf numFmtId="0" fontId="10" fillId="30" borderId="0" applyNumberFormat="0" applyBorder="0" applyAlignment="0" applyProtection="0"/>
    <xf numFmtId="0" fontId="66" fillId="31" borderId="0" applyNumberFormat="0" applyBorder="0" applyAlignment="0" applyProtection="0"/>
    <xf numFmtId="0" fontId="10" fillId="32" borderId="0" applyNumberFormat="0" applyBorder="0" applyAlignment="0" applyProtection="0"/>
    <xf numFmtId="0" fontId="66" fillId="33" borderId="0" applyNumberFormat="0" applyBorder="0" applyAlignment="0" applyProtection="0"/>
    <xf numFmtId="0" fontId="27" fillId="0" borderId="0">
      <alignment horizontal="justify"/>
      <protection/>
    </xf>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7" borderId="0" applyNumberFormat="0" applyBorder="0" applyAlignment="0" applyProtection="0"/>
    <xf numFmtId="49" fontId="27" fillId="0" borderId="1">
      <alignment horizontal="left"/>
      <protection/>
    </xf>
    <xf numFmtId="0" fontId="11" fillId="12" borderId="2" applyNumberFormat="0" applyAlignment="0" applyProtection="0"/>
    <xf numFmtId="0" fontId="12" fillId="38" borderId="3" applyNumberFormat="0" applyAlignment="0" applyProtection="0"/>
    <xf numFmtId="0" fontId="13" fillId="38" borderId="2" applyNumberFormat="0" applyAlignment="0" applyProtection="0"/>
    <xf numFmtId="0" fontId="1" fillId="0" borderId="0" applyNumberFormat="0" applyFill="0" applyBorder="0" applyAlignment="0" applyProtection="0"/>
    <xf numFmtId="49" fontId="27" fillId="0" borderId="1">
      <alignment horizontal="center"/>
      <protection/>
    </xf>
    <xf numFmtId="170" fontId="0" fillId="0" borderId="0" applyFont="0" applyFill="0" applyBorder="0" applyAlignment="0" applyProtection="0"/>
    <xf numFmtId="168" fontId="0" fillId="0" borderId="0" applyFon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29" fillId="0" borderId="0">
      <alignment horizontal="center" vertical="top" wrapText="1"/>
      <protection/>
    </xf>
    <xf numFmtId="0" fontId="30" fillId="0" borderId="1">
      <alignment horizontal="center" vertical="center" wrapText="1"/>
      <protection/>
    </xf>
    <xf numFmtId="0" fontId="31" fillId="0" borderId="0">
      <alignment horizontal="right" vertical="top"/>
      <protection/>
    </xf>
    <xf numFmtId="0" fontId="17" fillId="0" borderId="7" applyNumberFormat="0" applyFill="0" applyAlignment="0" applyProtection="0"/>
    <xf numFmtId="0" fontId="18" fillId="39" borderId="8" applyNumberFormat="0" applyAlignment="0" applyProtection="0"/>
    <xf numFmtId="0" fontId="19" fillId="0" borderId="0" applyNumberFormat="0" applyFill="0" applyBorder="0" applyAlignment="0" applyProtection="0"/>
    <xf numFmtId="0" fontId="20" fillId="40" borderId="0" applyNumberFormat="0" applyBorder="0" applyAlignment="0" applyProtection="0"/>
    <xf numFmtId="0" fontId="21" fillId="0" borderId="0">
      <alignment/>
      <protection/>
    </xf>
    <xf numFmtId="0" fontId="28" fillId="0" borderId="0">
      <alignment/>
      <protection/>
    </xf>
    <xf numFmtId="0" fontId="60" fillId="0" borderId="0">
      <alignment/>
      <protection/>
    </xf>
    <xf numFmtId="0" fontId="28" fillId="0" borderId="0">
      <alignment/>
      <protection/>
    </xf>
    <xf numFmtId="0" fontId="28" fillId="0" borderId="0">
      <alignment/>
      <protection/>
    </xf>
    <xf numFmtId="0" fontId="0" fillId="0" borderId="0">
      <alignment/>
      <protection/>
    </xf>
    <xf numFmtId="0" fontId="2" fillId="0" borderId="0" applyNumberFormat="0" applyFill="0" applyBorder="0" applyAlignment="0" applyProtection="0"/>
    <xf numFmtId="0" fontId="22" fillId="4" borderId="0" applyNumberFormat="0" applyBorder="0" applyAlignment="0" applyProtection="0"/>
    <xf numFmtId="0" fontId="32" fillId="0" borderId="0">
      <alignment horizontal="left"/>
      <protection/>
    </xf>
    <xf numFmtId="49" fontId="33" fillId="0" borderId="0">
      <alignment horizontal="center" vertical="top"/>
      <protection/>
    </xf>
    <xf numFmtId="0" fontId="27" fillId="0" borderId="9">
      <alignment horizontal="center"/>
      <protection/>
    </xf>
    <xf numFmtId="0" fontId="23" fillId="0" borderId="0" applyNumberFormat="0" applyFill="0" applyBorder="0" applyAlignment="0" applyProtection="0"/>
    <xf numFmtId="0" fontId="31" fillId="0" borderId="0">
      <alignment horizontal="right" vertical="top" wrapText="1"/>
      <protection/>
    </xf>
    <xf numFmtId="0" fontId="0" fillId="41" borderId="10" applyNumberFormat="0" applyFont="0" applyAlignment="0" applyProtection="0"/>
    <xf numFmtId="9" fontId="0" fillId="0" borderId="0" applyFont="0" applyFill="0" applyBorder="0" applyAlignment="0" applyProtection="0"/>
    <xf numFmtId="0" fontId="24" fillId="0" borderId="11" applyNumberFormat="0" applyFill="0" applyAlignment="0" applyProtection="0"/>
    <xf numFmtId="0" fontId="27" fillId="0" borderId="1">
      <alignment horizontal="center"/>
      <protection/>
    </xf>
    <xf numFmtId="0" fontId="25" fillId="0" borderId="0" applyNumberFormat="0" applyFill="0" applyBorder="0" applyAlignment="0" applyProtection="0"/>
    <xf numFmtId="0" fontId="31" fillId="0" borderId="0">
      <alignment horizontal="justify"/>
      <protection/>
    </xf>
    <xf numFmtId="171" fontId="0" fillId="0" borderId="0" applyFont="0" applyFill="0" applyBorder="0" applyAlignment="0" applyProtection="0"/>
    <xf numFmtId="169" fontId="0" fillId="0" borderId="0" applyFont="0" applyFill="0" applyBorder="0" applyAlignment="0" applyProtection="0"/>
    <xf numFmtId="0" fontId="26" fillId="6" borderId="0" applyNumberFormat="0" applyBorder="0" applyAlignment="0" applyProtection="0"/>
  </cellStyleXfs>
  <cellXfs count="521">
    <xf numFmtId="0" fontId="0" fillId="0" borderId="0" xfId="0" applyAlignment="1">
      <alignment/>
    </xf>
    <xf numFmtId="0" fontId="3" fillId="41" borderId="0" xfId="0" applyFont="1" applyFill="1" applyAlignment="1">
      <alignment/>
    </xf>
    <xf numFmtId="0" fontId="3" fillId="41" borderId="0" xfId="0" applyFont="1" applyFill="1" applyAlignment="1">
      <alignment horizontal="left"/>
    </xf>
    <xf numFmtId="0" fontId="3" fillId="42" borderId="12" xfId="0" applyFont="1" applyFill="1" applyBorder="1" applyAlignment="1">
      <alignment/>
    </xf>
    <xf numFmtId="0" fontId="3" fillId="42" borderId="13" xfId="0" applyFont="1" applyFill="1" applyBorder="1" applyAlignment="1">
      <alignment/>
    </xf>
    <xf numFmtId="0" fontId="3" fillId="42" borderId="13" xfId="0" applyFont="1" applyFill="1" applyBorder="1" applyAlignment="1">
      <alignment horizontal="left"/>
    </xf>
    <xf numFmtId="0" fontId="3" fillId="42" borderId="14" xfId="0" applyFont="1" applyFill="1" applyBorder="1" applyAlignment="1">
      <alignment/>
    </xf>
    <xf numFmtId="0" fontId="3" fillId="42" borderId="15" xfId="0" applyFont="1" applyFill="1" applyBorder="1" applyAlignment="1">
      <alignment/>
    </xf>
    <xf numFmtId="0" fontId="3" fillId="42" borderId="0" xfId="0" applyFont="1" applyFill="1" applyAlignment="1">
      <alignment/>
    </xf>
    <xf numFmtId="0" fontId="3" fillId="42" borderId="0" xfId="0" applyFont="1" applyFill="1" applyAlignment="1">
      <alignment horizontal="left"/>
    </xf>
    <xf numFmtId="0" fontId="3" fillId="42" borderId="16" xfId="0" applyFont="1" applyFill="1" applyBorder="1" applyAlignment="1">
      <alignment/>
    </xf>
    <xf numFmtId="0" fontId="5" fillId="42" borderId="16" xfId="0" applyFont="1" applyFill="1" applyBorder="1" applyAlignment="1">
      <alignment horizontal="center" vertical="top" wrapText="1"/>
    </xf>
    <xf numFmtId="0" fontId="5" fillId="41" borderId="0" xfId="0" applyFont="1" applyFill="1" applyAlignment="1">
      <alignment horizontal="center" vertical="top" wrapText="1"/>
    </xf>
    <xf numFmtId="0" fontId="5" fillId="42" borderId="0" xfId="0" applyFont="1" applyFill="1" applyAlignment="1">
      <alignment horizontal="center" vertical="top" wrapText="1"/>
    </xf>
    <xf numFmtId="0" fontId="5" fillId="42" borderId="0" xfId="0" applyFont="1" applyFill="1" applyAlignment="1">
      <alignment horizontal="left" vertical="top" wrapText="1"/>
    </xf>
    <xf numFmtId="0" fontId="3" fillId="10" borderId="1" xfId="0"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42" borderId="18" xfId="0" applyFont="1" applyFill="1" applyBorder="1" applyAlignment="1">
      <alignment horizontal="center" vertical="center" wrapText="1"/>
    </xf>
    <xf numFmtId="3" fontId="3" fillId="42" borderId="19" xfId="0" applyNumberFormat="1" applyFont="1" applyFill="1" applyBorder="1" applyAlignment="1">
      <alignment horizontal="left" vertical="center"/>
    </xf>
    <xf numFmtId="0" fontId="3" fillId="42" borderId="19" xfId="0" applyFont="1" applyFill="1" applyBorder="1" applyAlignment="1">
      <alignment horizontal="center" vertical="center" wrapText="1"/>
    </xf>
    <xf numFmtId="3" fontId="3" fillId="42" borderId="20" xfId="0" applyNumberFormat="1" applyFont="1" applyFill="1" applyBorder="1" applyAlignment="1">
      <alignment horizontal="left" vertical="center"/>
    </xf>
    <xf numFmtId="0" fontId="3" fillId="42" borderId="20" xfId="0" applyFont="1" applyFill="1" applyBorder="1" applyAlignment="1">
      <alignment horizontal="center" vertical="center" wrapText="1"/>
    </xf>
    <xf numFmtId="0" fontId="3" fillId="42" borderId="21" xfId="0" applyFont="1" applyFill="1" applyBorder="1" applyAlignment="1">
      <alignment/>
    </xf>
    <xf numFmtId="0" fontId="3" fillId="42" borderId="22" xfId="0" applyFont="1" applyFill="1" applyBorder="1" applyAlignment="1">
      <alignment/>
    </xf>
    <xf numFmtId="0" fontId="3" fillId="42" borderId="22" xfId="0" applyFont="1" applyFill="1" applyBorder="1" applyAlignment="1">
      <alignment horizontal="left"/>
    </xf>
    <xf numFmtId="0" fontId="3" fillId="42" borderId="23" xfId="0" applyFont="1" applyFill="1" applyBorder="1" applyAlignment="1">
      <alignment/>
    </xf>
    <xf numFmtId="0" fontId="5" fillId="42" borderId="15" xfId="0" applyFont="1" applyFill="1" applyBorder="1" applyAlignment="1">
      <alignment horizontal="center" vertical="top" wrapText="1"/>
    </xf>
    <xf numFmtId="0" fontId="6" fillId="41" borderId="0" xfId="0" applyFont="1" applyFill="1" applyBorder="1" applyAlignment="1" applyProtection="1">
      <alignment/>
      <protection hidden="1"/>
    </xf>
    <xf numFmtId="0" fontId="3" fillId="42" borderId="0" xfId="0" applyFont="1" applyFill="1" applyBorder="1" applyAlignment="1">
      <alignment/>
    </xf>
    <xf numFmtId="0" fontId="8" fillId="42" borderId="0" xfId="0" applyFont="1" applyFill="1" applyBorder="1" applyAlignment="1">
      <alignment/>
    </xf>
    <xf numFmtId="0" fontId="3" fillId="42" borderId="24" xfId="0" applyFont="1" applyFill="1" applyBorder="1" applyAlignment="1">
      <alignment horizontal="center"/>
    </xf>
    <xf numFmtId="14" fontId="3" fillId="42" borderId="24" xfId="0" applyNumberFormat="1" applyFont="1" applyFill="1" applyBorder="1" applyAlignment="1">
      <alignment/>
    </xf>
    <xf numFmtId="14" fontId="3" fillId="43" borderId="24" xfId="0" applyNumberFormat="1" applyFont="1" applyFill="1" applyBorder="1" applyAlignment="1">
      <alignment/>
    </xf>
    <xf numFmtId="0" fontId="37" fillId="42" borderId="0" xfId="0" applyFont="1" applyFill="1" applyAlignment="1" applyProtection="1">
      <alignment/>
      <protection hidden="1"/>
    </xf>
    <xf numFmtId="0" fontId="37" fillId="42" borderId="0" xfId="0" applyFont="1" applyFill="1" applyBorder="1" applyAlignment="1" applyProtection="1">
      <alignment/>
      <protection hidden="1"/>
    </xf>
    <xf numFmtId="0" fontId="6" fillId="42" borderId="0" xfId="0" applyFont="1" applyFill="1" applyBorder="1" applyAlignment="1" applyProtection="1">
      <alignment horizontal="left"/>
      <protection hidden="1"/>
    </xf>
    <xf numFmtId="0" fontId="6" fillId="42" borderId="0" xfId="0" applyFont="1" applyFill="1" applyBorder="1" applyAlignment="1" applyProtection="1">
      <alignment/>
      <protection hidden="1"/>
    </xf>
    <xf numFmtId="0" fontId="6" fillId="42" borderId="0" xfId="0" applyFont="1" applyFill="1" applyBorder="1" applyAlignment="1" applyProtection="1" quotePrefix="1">
      <alignment horizontal="right"/>
      <protection hidden="1"/>
    </xf>
    <xf numFmtId="0" fontId="6" fillId="42" borderId="0" xfId="0" applyFont="1" applyFill="1" applyBorder="1" applyAlignment="1" applyProtection="1">
      <alignment horizontal="center"/>
      <protection hidden="1"/>
    </xf>
    <xf numFmtId="14" fontId="6" fillId="42" borderId="0" xfId="0" applyNumberFormat="1" applyFont="1" applyFill="1" applyBorder="1" applyAlignment="1" applyProtection="1">
      <alignment horizontal="left"/>
      <protection hidden="1"/>
    </xf>
    <xf numFmtId="0" fontId="36" fillId="42" borderId="0" xfId="0" applyFont="1" applyFill="1" applyBorder="1" applyAlignment="1" applyProtection="1">
      <alignment/>
      <protection hidden="1"/>
    </xf>
    <xf numFmtId="169" fontId="36" fillId="42" borderId="0" xfId="96" applyNumberFormat="1" applyFont="1" applyFill="1" applyBorder="1" applyAlignment="1" applyProtection="1">
      <alignment/>
      <protection hidden="1"/>
    </xf>
    <xf numFmtId="0" fontId="36" fillId="42" borderId="9" xfId="0" applyFont="1" applyFill="1" applyBorder="1" applyAlignment="1" applyProtection="1">
      <alignment horizontal="center" vertical="center"/>
      <protection hidden="1"/>
    </xf>
    <xf numFmtId="0" fontId="4" fillId="42" borderId="0" xfId="0" applyFont="1" applyFill="1" applyBorder="1" applyAlignment="1" applyProtection="1" quotePrefix="1">
      <alignment horizontal="center" vertical="center"/>
      <protection hidden="1"/>
    </xf>
    <xf numFmtId="0" fontId="3" fillId="42" borderId="0" xfId="0" applyFont="1" applyFill="1" applyBorder="1" applyAlignment="1" applyProtection="1">
      <alignment/>
      <protection hidden="1"/>
    </xf>
    <xf numFmtId="0" fontId="36" fillId="42" borderId="0" xfId="0" applyFont="1" applyFill="1" applyBorder="1" applyAlignment="1" applyProtection="1" quotePrefix="1">
      <alignment horizontal="center" vertical="center"/>
      <protection hidden="1"/>
    </xf>
    <xf numFmtId="0" fontId="3" fillId="42" borderId="0" xfId="0" applyFont="1" applyFill="1" applyBorder="1" applyAlignment="1" applyProtection="1" quotePrefix="1">
      <alignment horizontal="left"/>
      <protection hidden="1"/>
    </xf>
    <xf numFmtId="174" fontId="36" fillId="42" borderId="0" xfId="96" applyNumberFormat="1" applyFont="1" applyFill="1" applyBorder="1" applyAlignment="1" applyProtection="1">
      <alignment/>
      <protection hidden="1"/>
    </xf>
    <xf numFmtId="0" fontId="37" fillId="41" borderId="0" xfId="0" applyFont="1" applyFill="1" applyAlignment="1" applyProtection="1">
      <alignment/>
      <protection hidden="1"/>
    </xf>
    <xf numFmtId="0" fontId="6" fillId="41" borderId="0" xfId="0" applyFont="1" applyFill="1" applyAlignment="1" applyProtection="1">
      <alignment/>
      <protection hidden="1"/>
    </xf>
    <xf numFmtId="0" fontId="36" fillId="41" borderId="0" xfId="0" applyFont="1" applyFill="1" applyAlignment="1" applyProtection="1">
      <alignment/>
      <protection hidden="1"/>
    </xf>
    <xf numFmtId="169" fontId="6" fillId="41" borderId="0" xfId="0" applyNumberFormat="1" applyFont="1" applyFill="1" applyAlignment="1" applyProtection="1">
      <alignment shrinkToFit="1"/>
      <protection hidden="1"/>
    </xf>
    <xf numFmtId="0" fontId="6" fillId="42" borderId="12" xfId="0" applyFont="1" applyFill="1" applyBorder="1" applyAlignment="1" applyProtection="1">
      <alignment/>
      <protection hidden="1"/>
    </xf>
    <xf numFmtId="0" fontId="37" fillId="42" borderId="15" xfId="0" applyFont="1" applyFill="1" applyBorder="1" applyAlignment="1" applyProtection="1">
      <alignment/>
      <protection hidden="1"/>
    </xf>
    <xf numFmtId="0" fontId="6" fillId="42" borderId="15" xfId="0" applyFont="1" applyFill="1" applyBorder="1" applyAlignment="1" applyProtection="1">
      <alignment/>
      <protection hidden="1"/>
    </xf>
    <xf numFmtId="0" fontId="3" fillId="42" borderId="0" xfId="0" applyFont="1" applyFill="1" applyBorder="1" applyAlignment="1" applyProtection="1">
      <alignment horizontal="left" wrapText="1"/>
      <protection hidden="1"/>
    </xf>
    <xf numFmtId="0" fontId="36" fillId="42" borderId="15" xfId="0" applyFont="1" applyFill="1" applyBorder="1" applyAlignment="1" applyProtection="1">
      <alignment/>
      <protection hidden="1"/>
    </xf>
    <xf numFmtId="0" fontId="6" fillId="42" borderId="21" xfId="0" applyFont="1" applyFill="1" applyBorder="1" applyAlignment="1" applyProtection="1">
      <alignment/>
      <protection hidden="1"/>
    </xf>
    <xf numFmtId="0" fontId="6" fillId="42" borderId="22" xfId="0" applyFont="1" applyFill="1" applyBorder="1" applyAlignment="1" applyProtection="1">
      <alignment/>
      <protection hidden="1"/>
    </xf>
    <xf numFmtId="0" fontId="36" fillId="42" borderId="0" xfId="0" applyFont="1" applyFill="1" applyBorder="1" applyAlignment="1" applyProtection="1">
      <alignment vertical="center"/>
      <protection hidden="1"/>
    </xf>
    <xf numFmtId="0" fontId="36" fillId="42" borderId="0" xfId="0" applyFont="1" applyFill="1" applyBorder="1" applyAlignment="1" applyProtection="1">
      <alignment horizontal="right" vertical="center"/>
      <protection hidden="1"/>
    </xf>
    <xf numFmtId="0" fontId="37" fillId="42" borderId="0" xfId="0" applyFont="1" applyFill="1" applyBorder="1" applyAlignment="1" applyProtection="1">
      <alignment/>
      <protection hidden="1"/>
    </xf>
    <xf numFmtId="0" fontId="37" fillId="42" borderId="0" xfId="0" applyFont="1" applyFill="1" applyBorder="1" applyAlignment="1" applyProtection="1">
      <alignment shrinkToFit="1"/>
      <protection hidden="1"/>
    </xf>
    <xf numFmtId="0" fontId="37" fillId="42" borderId="25" xfId="0" applyFont="1" applyFill="1" applyBorder="1" applyAlignment="1" applyProtection="1">
      <alignment horizontal="right"/>
      <protection hidden="1"/>
    </xf>
    <xf numFmtId="0" fontId="3" fillId="42" borderId="0" xfId="0" applyFont="1" applyFill="1" applyBorder="1" applyAlignment="1" applyProtection="1">
      <alignment horizontal="left"/>
      <protection hidden="1"/>
    </xf>
    <xf numFmtId="0" fontId="36" fillId="42" borderId="0" xfId="0" applyFont="1" applyFill="1" applyBorder="1" applyAlignment="1" applyProtection="1">
      <alignment horizontal="left" vertical="center"/>
      <protection hidden="1"/>
    </xf>
    <xf numFmtId="0" fontId="37" fillId="10" borderId="26" xfId="0" applyFont="1" applyFill="1" applyBorder="1" applyAlignment="1" applyProtection="1">
      <alignment/>
      <protection hidden="1"/>
    </xf>
    <xf numFmtId="14" fontId="3" fillId="10" borderId="27" xfId="0" applyNumberFormat="1" applyFont="1" applyFill="1" applyBorder="1" applyAlignment="1" applyProtection="1">
      <alignment horizontal="center"/>
      <protection hidden="1"/>
    </xf>
    <xf numFmtId="0" fontId="4" fillId="42" borderId="0" xfId="0" applyFont="1" applyFill="1" applyBorder="1" applyAlignment="1" applyProtection="1">
      <alignment horizontal="left"/>
      <protection hidden="1"/>
    </xf>
    <xf numFmtId="0" fontId="36" fillId="42" borderId="9" xfId="0" applyFont="1" applyFill="1" applyBorder="1" applyAlignment="1" applyProtection="1">
      <alignment/>
      <protection hidden="1"/>
    </xf>
    <xf numFmtId="173" fontId="4" fillId="42" borderId="28" xfId="0" applyNumberFormat="1" applyFont="1" applyFill="1" applyBorder="1" applyAlignment="1" applyProtection="1">
      <alignment horizontal="right"/>
      <protection hidden="1"/>
    </xf>
    <xf numFmtId="0" fontId="4" fillId="42" borderId="29" xfId="0" applyFont="1" applyFill="1" applyBorder="1" applyAlignment="1" applyProtection="1">
      <alignment horizontal="left"/>
      <protection hidden="1"/>
    </xf>
    <xf numFmtId="0" fontId="37" fillId="10" borderId="30" xfId="0" applyFont="1" applyFill="1" applyBorder="1" applyAlignment="1" applyProtection="1">
      <alignment horizontal="center" vertical="center" wrapText="1"/>
      <protection hidden="1"/>
    </xf>
    <xf numFmtId="169" fontId="37" fillId="42" borderId="31" xfId="96" applyNumberFormat="1" applyFont="1" applyFill="1" applyBorder="1" applyAlignment="1" applyProtection="1">
      <alignment horizontal="center"/>
      <protection hidden="1" locked="0"/>
    </xf>
    <xf numFmtId="169" fontId="37" fillId="42" borderId="32" xfId="96" applyNumberFormat="1" applyFont="1" applyFill="1" applyBorder="1" applyAlignment="1" applyProtection="1">
      <alignment horizontal="center"/>
      <protection hidden="1" locked="0"/>
    </xf>
    <xf numFmtId="0" fontId="6" fillId="42" borderId="33" xfId="0" applyFont="1" applyFill="1" applyBorder="1" applyAlignment="1" applyProtection="1">
      <alignment/>
      <protection hidden="1"/>
    </xf>
    <xf numFmtId="0" fontId="6" fillId="42" borderId="34" xfId="0" applyFont="1" applyFill="1" applyBorder="1" applyAlignment="1" applyProtection="1">
      <alignment/>
      <protection hidden="1"/>
    </xf>
    <xf numFmtId="169" fontId="6" fillId="42" borderId="31" xfId="96" applyNumberFormat="1" applyFont="1" applyFill="1" applyBorder="1" applyAlignment="1" applyProtection="1">
      <alignment horizontal="center"/>
      <protection hidden="1" locked="0"/>
    </xf>
    <xf numFmtId="169" fontId="6" fillId="42" borderId="32" xfId="96" applyNumberFormat="1" applyFont="1" applyFill="1" applyBorder="1" applyAlignment="1" applyProtection="1">
      <alignment horizontal="center"/>
      <protection hidden="1" locked="0"/>
    </xf>
    <xf numFmtId="169" fontId="6" fillId="42" borderId="35" xfId="96" applyNumberFormat="1" applyFont="1" applyFill="1" applyBorder="1" applyAlignment="1" applyProtection="1">
      <alignment horizontal="center"/>
      <protection hidden="1" locked="0"/>
    </xf>
    <xf numFmtId="169" fontId="6" fillId="42" borderId="36" xfId="96" applyNumberFormat="1" applyFont="1" applyFill="1" applyBorder="1" applyAlignment="1" applyProtection="1">
      <alignment horizontal="center"/>
      <protection hidden="1" locked="0"/>
    </xf>
    <xf numFmtId="169" fontId="6" fillId="42" borderId="37" xfId="96" applyNumberFormat="1" applyFont="1" applyFill="1" applyBorder="1" applyAlignment="1" applyProtection="1">
      <alignment horizontal="center"/>
      <protection hidden="1" locked="0"/>
    </xf>
    <xf numFmtId="169" fontId="6" fillId="42" borderId="38" xfId="96" applyNumberFormat="1" applyFont="1" applyFill="1" applyBorder="1" applyAlignment="1" applyProtection="1">
      <alignment horizontal="center"/>
      <protection hidden="1" locked="0"/>
    </xf>
    <xf numFmtId="169" fontId="6" fillId="42" borderId="30" xfId="96" applyNumberFormat="1" applyFont="1" applyFill="1" applyBorder="1" applyAlignment="1" applyProtection="1">
      <alignment horizontal="center"/>
      <protection hidden="1"/>
    </xf>
    <xf numFmtId="169" fontId="6" fillId="42" borderId="20" xfId="96" applyNumberFormat="1" applyFont="1" applyFill="1" applyBorder="1" applyAlignment="1" applyProtection="1">
      <alignment horizontal="center"/>
      <protection hidden="1"/>
    </xf>
    <xf numFmtId="169" fontId="37" fillId="42" borderId="35" xfId="96" applyNumberFormat="1" applyFont="1" applyFill="1" applyBorder="1" applyAlignment="1" applyProtection="1">
      <alignment horizontal="center"/>
      <protection hidden="1" locked="0"/>
    </xf>
    <xf numFmtId="0" fontId="37" fillId="42" borderId="33" xfId="0" applyFont="1" applyFill="1" applyBorder="1" applyAlignment="1" applyProtection="1">
      <alignment/>
      <protection hidden="1"/>
    </xf>
    <xf numFmtId="0" fontId="37" fillId="42" borderId="34" xfId="0" applyFont="1" applyFill="1" applyBorder="1" applyAlignment="1" applyProtection="1">
      <alignment/>
      <protection hidden="1"/>
    </xf>
    <xf numFmtId="169" fontId="37" fillId="42" borderId="37" xfId="96" applyNumberFormat="1" applyFont="1" applyFill="1" applyBorder="1" applyAlignment="1" applyProtection="1">
      <alignment horizontal="center"/>
      <protection hidden="1" locked="0"/>
    </xf>
    <xf numFmtId="169" fontId="37" fillId="42" borderId="38" xfId="96" applyNumberFormat="1" applyFont="1" applyFill="1" applyBorder="1" applyAlignment="1" applyProtection="1">
      <alignment horizontal="center"/>
      <protection hidden="1" locked="0"/>
    </xf>
    <xf numFmtId="174" fontId="37" fillId="42" borderId="1" xfId="96" applyNumberFormat="1" applyFont="1" applyFill="1" applyBorder="1" applyAlignment="1" applyProtection="1">
      <alignment/>
      <protection hidden="1" locked="0"/>
    </xf>
    <xf numFmtId="174" fontId="37" fillId="10" borderId="1" xfId="96" applyNumberFormat="1" applyFont="1" applyFill="1" applyBorder="1" applyAlignment="1" applyProtection="1">
      <alignment/>
      <protection hidden="1"/>
    </xf>
    <xf numFmtId="169" fontId="6" fillId="42" borderId="39" xfId="96" applyNumberFormat="1" applyFont="1" applyFill="1" applyBorder="1" applyAlignment="1" applyProtection="1">
      <alignment horizontal="center"/>
      <protection hidden="1"/>
    </xf>
    <xf numFmtId="0" fontId="35" fillId="42" borderId="20" xfId="0" applyFont="1" applyFill="1" applyBorder="1" applyAlignment="1" applyProtection="1">
      <alignment horizontal="center" wrapText="1"/>
      <protection hidden="1"/>
    </xf>
    <xf numFmtId="174" fontId="36" fillId="42" borderId="0" xfId="96" applyNumberFormat="1" applyFont="1" applyFill="1" applyBorder="1" applyAlignment="1" applyProtection="1">
      <alignment/>
      <protection hidden="1"/>
    </xf>
    <xf numFmtId="0" fontId="6" fillId="42" borderId="39" xfId="0" applyFont="1" applyFill="1" applyBorder="1" applyAlignment="1" applyProtection="1">
      <alignment/>
      <protection hidden="1"/>
    </xf>
    <xf numFmtId="0" fontId="38" fillId="42" borderId="33" xfId="0" applyFont="1" applyFill="1" applyBorder="1" applyAlignment="1" applyProtection="1">
      <alignment/>
      <protection hidden="1"/>
    </xf>
    <xf numFmtId="0" fontId="38" fillId="42" borderId="0" xfId="0" applyFont="1" applyFill="1" applyBorder="1" applyAlignment="1" applyProtection="1">
      <alignment/>
      <protection hidden="1"/>
    </xf>
    <xf numFmtId="0" fontId="36" fillId="42" borderId="0" xfId="0" applyFont="1" applyFill="1" applyBorder="1" applyAlignment="1" applyProtection="1">
      <alignment horizontal="right"/>
      <protection hidden="1"/>
    </xf>
    <xf numFmtId="174" fontId="36" fillId="42" borderId="0" xfId="96" applyNumberFormat="1" applyFont="1" applyFill="1" applyBorder="1" applyAlignment="1" applyProtection="1">
      <alignment horizontal="right"/>
      <protection hidden="1"/>
    </xf>
    <xf numFmtId="0" fontId="36" fillId="42" borderId="9" xfId="0" applyFont="1" applyFill="1" applyBorder="1" applyAlignment="1" applyProtection="1" quotePrefix="1">
      <alignment horizontal="center" vertical="center"/>
      <protection hidden="1"/>
    </xf>
    <xf numFmtId="169" fontId="4" fillId="10" borderId="1" xfId="0" applyNumberFormat="1" applyFont="1" applyFill="1" applyBorder="1" applyAlignment="1" applyProtection="1">
      <alignment shrinkToFit="1"/>
      <protection hidden="1"/>
    </xf>
    <xf numFmtId="169" fontId="3" fillId="10" borderId="31" xfId="0" applyNumberFormat="1" applyFont="1" applyFill="1" applyBorder="1" applyAlignment="1" applyProtection="1">
      <alignment shrinkToFit="1"/>
      <protection hidden="1"/>
    </xf>
    <xf numFmtId="169" fontId="3" fillId="10" borderId="37" xfId="0" applyNumberFormat="1" applyFont="1" applyFill="1" applyBorder="1" applyAlignment="1" applyProtection="1">
      <alignment shrinkToFit="1"/>
      <protection hidden="1"/>
    </xf>
    <xf numFmtId="14" fontId="3" fillId="42" borderId="27" xfId="0" applyNumberFormat="1" applyFont="1" applyFill="1" applyBorder="1" applyAlignment="1" applyProtection="1">
      <alignment horizontal="center" shrinkToFit="1"/>
      <protection hidden="1"/>
    </xf>
    <xf numFmtId="0" fontId="39" fillId="42" borderId="0" xfId="0" applyFont="1" applyFill="1" applyBorder="1" applyAlignment="1" applyProtection="1">
      <alignment horizontal="center" vertical="top"/>
      <protection hidden="1"/>
    </xf>
    <xf numFmtId="0" fontId="37" fillId="41" borderId="0" xfId="0" applyFont="1" applyFill="1" applyBorder="1" applyAlignment="1" applyProtection="1">
      <alignment/>
      <protection hidden="1"/>
    </xf>
    <xf numFmtId="0" fontId="36" fillId="42" borderId="9" xfId="0" applyFont="1" applyFill="1" applyBorder="1" applyAlignment="1" applyProtection="1">
      <alignment/>
      <protection hidden="1"/>
    </xf>
    <xf numFmtId="0" fontId="36" fillId="42" borderId="0" xfId="0" applyFont="1" applyFill="1" applyBorder="1" applyAlignment="1" applyProtection="1">
      <alignment horizontal="center"/>
      <protection hidden="1"/>
    </xf>
    <xf numFmtId="3" fontId="37" fillId="42" borderId="0" xfId="0" applyNumberFormat="1" applyFont="1" applyFill="1" applyBorder="1" applyAlignment="1" applyProtection="1">
      <alignment/>
      <protection hidden="1"/>
    </xf>
    <xf numFmtId="0" fontId="37" fillId="42" borderId="12" xfId="0" applyFont="1" applyFill="1" applyBorder="1" applyAlignment="1" applyProtection="1">
      <alignment/>
      <protection hidden="1"/>
    </xf>
    <xf numFmtId="0" fontId="37" fillId="42" borderId="13" xfId="0" applyFont="1" applyFill="1" applyBorder="1" applyAlignment="1" applyProtection="1">
      <alignment/>
      <protection hidden="1" locked="0"/>
    </xf>
    <xf numFmtId="0" fontId="37" fillId="42" borderId="13" xfId="0" applyFont="1" applyFill="1" applyBorder="1" applyAlignment="1" applyProtection="1">
      <alignment/>
      <protection hidden="1"/>
    </xf>
    <xf numFmtId="0" fontId="37" fillId="42" borderId="14" xfId="0" applyFont="1" applyFill="1" applyBorder="1" applyAlignment="1" applyProtection="1">
      <alignment/>
      <protection hidden="1"/>
    </xf>
    <xf numFmtId="0" fontId="37" fillId="42" borderId="16" xfId="0" applyFont="1" applyFill="1" applyBorder="1" applyAlignment="1" applyProtection="1">
      <alignment/>
      <protection hidden="1"/>
    </xf>
    <xf numFmtId="0" fontId="37" fillId="42" borderId="21" xfId="0" applyFont="1" applyFill="1" applyBorder="1" applyAlignment="1" applyProtection="1">
      <alignment/>
      <protection hidden="1"/>
    </xf>
    <xf numFmtId="0" fontId="37" fillId="42" borderId="22" xfId="0" applyFont="1" applyFill="1" applyBorder="1" applyAlignment="1" applyProtection="1">
      <alignment/>
      <protection hidden="1"/>
    </xf>
    <xf numFmtId="0" fontId="37" fillId="42" borderId="23" xfId="0" applyFont="1" applyFill="1" applyBorder="1" applyAlignment="1" applyProtection="1">
      <alignment/>
      <protection hidden="1"/>
    </xf>
    <xf numFmtId="174" fontId="6" fillId="42" borderId="30" xfId="96" applyNumberFormat="1" applyFont="1" applyFill="1" applyBorder="1" applyAlignment="1" applyProtection="1">
      <alignment horizontal="center" vertical="center"/>
      <protection hidden="1"/>
    </xf>
    <xf numFmtId="0" fontId="37" fillId="42" borderId="0" xfId="0" applyFont="1" applyFill="1" applyBorder="1" applyAlignment="1" applyProtection="1">
      <alignment horizontal="center"/>
      <protection hidden="1"/>
    </xf>
    <xf numFmtId="0" fontId="36" fillId="42" borderId="25" xfId="0" applyFont="1" applyFill="1" applyBorder="1" applyAlignment="1" applyProtection="1">
      <alignment/>
      <protection hidden="1"/>
    </xf>
    <xf numFmtId="0" fontId="37" fillId="42" borderId="25" xfId="0" applyFont="1" applyFill="1" applyBorder="1" applyAlignment="1" applyProtection="1">
      <alignment/>
      <protection hidden="1"/>
    </xf>
    <xf numFmtId="0" fontId="41" fillId="42" borderId="26" xfId="0" applyFont="1" applyFill="1" applyBorder="1" applyAlignment="1" applyProtection="1">
      <alignment horizontal="center"/>
      <protection hidden="1"/>
    </xf>
    <xf numFmtId="0" fontId="37" fillId="42" borderId="0" xfId="0" applyFont="1" applyFill="1" applyBorder="1" applyAlignment="1" applyProtection="1">
      <alignment horizontal="right"/>
      <protection hidden="1"/>
    </xf>
    <xf numFmtId="14" fontId="37" fillId="10" borderId="27" xfId="0" applyNumberFormat="1" applyFont="1" applyFill="1" applyBorder="1" applyAlignment="1" applyProtection="1">
      <alignment horizontal="center"/>
      <protection hidden="1"/>
    </xf>
    <xf numFmtId="14" fontId="41" fillId="42" borderId="27" xfId="0" applyNumberFormat="1" applyFont="1" applyFill="1" applyBorder="1" applyAlignment="1" applyProtection="1">
      <alignment horizontal="center"/>
      <protection hidden="1"/>
    </xf>
    <xf numFmtId="14" fontId="41" fillId="42" borderId="27" xfId="0" applyNumberFormat="1" applyFont="1" applyFill="1" applyBorder="1" applyAlignment="1" applyProtection="1">
      <alignment horizontal="center" shrinkToFit="1"/>
      <protection hidden="1"/>
    </xf>
    <xf numFmtId="0" fontId="37" fillId="42" borderId="0" xfId="0" applyFont="1" applyFill="1" applyBorder="1" applyAlignment="1" applyProtection="1" quotePrefix="1">
      <alignment/>
      <protection hidden="1"/>
    </xf>
    <xf numFmtId="14" fontId="37" fillId="42" borderId="0" xfId="0" applyNumberFormat="1" applyFont="1" applyFill="1" applyBorder="1" applyAlignment="1" applyProtection="1">
      <alignment/>
      <protection hidden="1"/>
    </xf>
    <xf numFmtId="0" fontId="41" fillId="42" borderId="0" xfId="0" applyFont="1" applyFill="1" applyBorder="1" applyAlignment="1" applyProtection="1">
      <alignment wrapText="1"/>
      <protection hidden="1"/>
    </xf>
    <xf numFmtId="0" fontId="3" fillId="10" borderId="39" xfId="0" applyFont="1" applyFill="1" applyBorder="1" applyAlignment="1" applyProtection="1">
      <alignment horizontal="center" vertical="center" wrapText="1"/>
      <protection hidden="1"/>
    </xf>
    <xf numFmtId="169" fontId="41" fillId="42" borderId="1" xfId="0" applyNumberFormat="1" applyFont="1" applyFill="1" applyBorder="1" applyAlignment="1" applyProtection="1">
      <alignment/>
      <protection hidden="1"/>
    </xf>
    <xf numFmtId="0" fontId="42" fillId="42" borderId="40" xfId="0" applyFont="1" applyFill="1" applyBorder="1" applyAlignment="1" applyProtection="1">
      <alignment horizontal="right"/>
      <protection hidden="1"/>
    </xf>
    <xf numFmtId="0" fontId="42" fillId="42" borderId="32" xfId="0" applyFont="1" applyFill="1" applyBorder="1" applyAlignment="1" applyProtection="1">
      <alignment horizontal="left"/>
      <protection hidden="1"/>
    </xf>
    <xf numFmtId="169" fontId="42" fillId="42" borderId="31" xfId="0" applyNumberFormat="1" applyFont="1" applyFill="1" applyBorder="1" applyAlignment="1" applyProtection="1">
      <alignment horizontal="center"/>
      <protection hidden="1"/>
    </xf>
    <xf numFmtId="0" fontId="42" fillId="42" borderId="41" xfId="0" applyFont="1" applyFill="1" applyBorder="1" applyAlignment="1" applyProtection="1">
      <alignment horizontal="right"/>
      <protection hidden="1"/>
    </xf>
    <xf numFmtId="0" fontId="42" fillId="42" borderId="36" xfId="0" applyFont="1" applyFill="1" applyBorder="1" applyAlignment="1" applyProtection="1">
      <alignment horizontal="left"/>
      <protection hidden="1"/>
    </xf>
    <xf numFmtId="169" fontId="42" fillId="42" borderId="35" xfId="0" applyNumberFormat="1" applyFont="1" applyFill="1" applyBorder="1" applyAlignment="1" applyProtection="1">
      <alignment horizontal="center"/>
      <protection hidden="1"/>
    </xf>
    <xf numFmtId="0" fontId="42" fillId="42" borderId="42" xfId="0" applyFont="1" applyFill="1" applyBorder="1" applyAlignment="1" applyProtection="1">
      <alignment horizontal="right"/>
      <protection hidden="1"/>
    </xf>
    <xf numFmtId="0" fontId="42" fillId="42" borderId="38" xfId="0" applyFont="1" applyFill="1" applyBorder="1" applyAlignment="1" applyProtection="1">
      <alignment horizontal="left"/>
      <protection hidden="1"/>
    </xf>
    <xf numFmtId="169" fontId="42" fillId="42" borderId="37" xfId="0" applyNumberFormat="1" applyFont="1" applyFill="1" applyBorder="1" applyAlignment="1" applyProtection="1">
      <alignment horizontal="center"/>
      <protection hidden="1"/>
    </xf>
    <xf numFmtId="0" fontId="4" fillId="42" borderId="0" xfId="0" applyFont="1" applyFill="1" applyBorder="1" applyAlignment="1" applyProtection="1">
      <alignment/>
      <protection hidden="1"/>
    </xf>
    <xf numFmtId="0" fontId="42" fillId="42" borderId="40" xfId="0" applyFont="1" applyFill="1" applyBorder="1" applyAlignment="1" applyProtection="1">
      <alignment horizontal="right" vertical="center"/>
      <protection hidden="1"/>
    </xf>
    <xf numFmtId="0" fontId="42" fillId="42" borderId="32" xfId="0" applyFont="1" applyFill="1" applyBorder="1" applyAlignment="1" applyProtection="1">
      <alignment horizontal="left" vertical="center"/>
      <protection hidden="1"/>
    </xf>
    <xf numFmtId="0" fontId="42" fillId="42" borderId="41" xfId="0" applyFont="1" applyFill="1" applyBorder="1" applyAlignment="1" applyProtection="1">
      <alignment horizontal="right" vertical="center"/>
      <protection hidden="1"/>
    </xf>
    <xf numFmtId="0" fontId="42" fillId="42" borderId="36" xfId="0" applyFont="1" applyFill="1" applyBorder="1" applyAlignment="1" applyProtection="1">
      <alignment horizontal="left" vertical="center"/>
      <protection hidden="1"/>
    </xf>
    <xf numFmtId="0" fontId="42" fillId="42" borderId="38" xfId="0" applyFont="1" applyFill="1" applyBorder="1" applyAlignment="1" applyProtection="1">
      <alignment horizontal="left" vertical="center"/>
      <protection hidden="1"/>
    </xf>
    <xf numFmtId="169" fontId="42" fillId="42" borderId="31" xfId="0" applyNumberFormat="1" applyFont="1" applyFill="1" applyBorder="1" applyAlignment="1" applyProtection="1">
      <alignment horizontal="center" vertical="center" shrinkToFit="1"/>
      <protection hidden="1"/>
    </xf>
    <xf numFmtId="169" fontId="42" fillId="42" borderId="35" xfId="0" applyNumberFormat="1" applyFont="1" applyFill="1" applyBorder="1" applyAlignment="1" applyProtection="1">
      <alignment horizontal="center" vertical="center" shrinkToFit="1"/>
      <protection hidden="1"/>
    </xf>
    <xf numFmtId="169" fontId="42" fillId="42" borderId="37" xfId="0" applyNumberFormat="1" applyFont="1" applyFill="1" applyBorder="1" applyAlignment="1" applyProtection="1">
      <alignment horizontal="center" vertical="center" shrinkToFit="1"/>
      <protection hidden="1"/>
    </xf>
    <xf numFmtId="169" fontId="36" fillId="42" borderId="0" xfId="0" applyNumberFormat="1" applyFont="1" applyFill="1" applyBorder="1" applyAlignment="1" applyProtection="1">
      <alignment shrinkToFit="1"/>
      <protection hidden="1"/>
    </xf>
    <xf numFmtId="169" fontId="41" fillId="42" borderId="0" xfId="0" applyNumberFormat="1" applyFont="1" applyFill="1" applyBorder="1" applyAlignment="1" applyProtection="1">
      <alignment horizontal="center" shrinkToFit="1"/>
      <protection hidden="1"/>
    </xf>
    <xf numFmtId="169" fontId="41" fillId="42" borderId="0" xfId="0" applyNumberFormat="1" applyFont="1" applyFill="1" applyBorder="1" applyAlignment="1" applyProtection="1">
      <alignment shrinkToFit="1"/>
      <protection hidden="1"/>
    </xf>
    <xf numFmtId="0" fontId="39" fillId="42" borderId="25" xfId="0" applyFont="1" applyFill="1" applyBorder="1" applyAlignment="1" applyProtection="1">
      <alignment vertical="top"/>
      <protection hidden="1"/>
    </xf>
    <xf numFmtId="0" fontId="3" fillId="42" borderId="0" xfId="0" applyFont="1" applyFill="1" applyBorder="1" applyAlignment="1">
      <alignment/>
    </xf>
    <xf numFmtId="0" fontId="37" fillId="42" borderId="0" xfId="0" applyNumberFormat="1" applyFont="1" applyFill="1" applyAlignment="1" applyProtection="1">
      <alignment/>
      <protection hidden="1"/>
    </xf>
    <xf numFmtId="0" fontId="0" fillId="41" borderId="0" xfId="0" applyNumberFormat="1" applyFill="1" applyAlignment="1">
      <alignment/>
    </xf>
    <xf numFmtId="0" fontId="0" fillId="42" borderId="12" xfId="0" applyNumberFormat="1" applyFill="1" applyBorder="1" applyAlignment="1">
      <alignment/>
    </xf>
    <xf numFmtId="0" fontId="0" fillId="42" borderId="13" xfId="0" applyNumberFormat="1" applyFill="1" applyBorder="1" applyAlignment="1">
      <alignment/>
    </xf>
    <xf numFmtId="0" fontId="0" fillId="42" borderId="14" xfId="0" applyNumberFormat="1" applyFill="1" applyBorder="1" applyAlignment="1">
      <alignment/>
    </xf>
    <xf numFmtId="0" fontId="0" fillId="42" borderId="15" xfId="0" applyNumberFormat="1" applyFill="1" applyBorder="1" applyAlignment="1">
      <alignment/>
    </xf>
    <xf numFmtId="0" fontId="0" fillId="42" borderId="0" xfId="0" applyNumberFormat="1" applyFill="1" applyBorder="1" applyAlignment="1">
      <alignment/>
    </xf>
    <xf numFmtId="0" fontId="0" fillId="42" borderId="16" xfId="0" applyNumberFormat="1" applyFill="1" applyBorder="1" applyAlignment="1">
      <alignment/>
    </xf>
    <xf numFmtId="0" fontId="0" fillId="42" borderId="21" xfId="0" applyNumberFormat="1" applyFill="1" applyBorder="1" applyAlignment="1">
      <alignment/>
    </xf>
    <xf numFmtId="0" fontId="0" fillId="42" borderId="22" xfId="0" applyNumberFormat="1" applyFill="1" applyBorder="1" applyAlignment="1">
      <alignment/>
    </xf>
    <xf numFmtId="0" fontId="0" fillId="42" borderId="23" xfId="0" applyNumberFormat="1" applyFill="1" applyBorder="1" applyAlignment="1">
      <alignment/>
    </xf>
    <xf numFmtId="0" fontId="8" fillId="42" borderId="0" xfId="0" applyNumberFormat="1" applyFont="1" applyFill="1" applyBorder="1" applyAlignment="1">
      <alignment horizontal="justify" vertical="center" wrapText="1"/>
    </xf>
    <xf numFmtId="0" fontId="43" fillId="42" borderId="0" xfId="0" applyNumberFormat="1" applyFont="1" applyFill="1" applyBorder="1" applyAlignment="1">
      <alignment horizontal="center"/>
    </xf>
    <xf numFmtId="0" fontId="43" fillId="42" borderId="0" xfId="0" applyNumberFormat="1" applyFont="1" applyFill="1" applyBorder="1" applyAlignment="1">
      <alignment/>
    </xf>
    <xf numFmtId="0" fontId="44" fillId="42" borderId="0" xfId="0" applyNumberFormat="1" applyFont="1" applyFill="1" applyBorder="1" applyAlignment="1">
      <alignment horizontal="justify" vertical="center" wrapText="1"/>
    </xf>
    <xf numFmtId="0" fontId="0" fillId="41" borderId="0" xfId="0" applyNumberFormat="1" applyFill="1" applyAlignment="1">
      <alignment wrapText="1"/>
    </xf>
    <xf numFmtId="0" fontId="38" fillId="42" borderId="34" xfId="0" applyFont="1" applyFill="1" applyBorder="1" applyAlignment="1" applyProtection="1">
      <alignment/>
      <protection hidden="1"/>
    </xf>
    <xf numFmtId="0" fontId="38" fillId="42" borderId="34" xfId="0" applyFont="1" applyFill="1" applyBorder="1" applyAlignment="1" applyProtection="1">
      <alignment wrapText="1"/>
      <protection hidden="1"/>
    </xf>
    <xf numFmtId="0" fontId="3" fillId="10" borderId="39" xfId="0" applyFont="1" applyFill="1" applyBorder="1" applyAlignment="1" applyProtection="1" quotePrefix="1">
      <alignment horizontal="center" vertical="center" wrapText="1"/>
      <protection hidden="1"/>
    </xf>
    <xf numFmtId="0" fontId="3" fillId="10" borderId="1" xfId="0" applyFont="1" applyFill="1" applyBorder="1" applyAlignment="1" applyProtection="1">
      <alignment horizontal="center" vertical="center" wrapText="1"/>
      <protection hidden="1"/>
    </xf>
    <xf numFmtId="0" fontId="3" fillId="42" borderId="0" xfId="0" applyNumberFormat="1" applyFont="1" applyFill="1" applyBorder="1" applyAlignment="1">
      <alignment/>
    </xf>
    <xf numFmtId="0" fontId="4" fillId="42" borderId="0" xfId="0" applyNumberFormat="1" applyFont="1" applyFill="1" applyBorder="1" applyAlignment="1">
      <alignment/>
    </xf>
    <xf numFmtId="0" fontId="4" fillId="42" borderId="0" xfId="0" applyNumberFormat="1" applyFont="1" applyFill="1" applyBorder="1" applyAlignment="1">
      <alignment horizontal="center"/>
    </xf>
    <xf numFmtId="0" fontId="3" fillId="42" borderId="22" xfId="0" applyNumberFormat="1" applyFont="1" applyFill="1" applyBorder="1" applyAlignment="1">
      <alignment/>
    </xf>
    <xf numFmtId="0" fontId="3" fillId="41" borderId="0" xfId="0" applyNumberFormat="1" applyFont="1" applyFill="1" applyAlignment="1">
      <alignment/>
    </xf>
    <xf numFmtId="0" fontId="3" fillId="42" borderId="0" xfId="0" applyNumberFormat="1" applyFont="1" applyFill="1" applyBorder="1" applyAlignment="1">
      <alignment horizontal="justify" vertical="center"/>
    </xf>
    <xf numFmtId="0" fontId="47" fillId="41" borderId="0" xfId="0" applyNumberFormat="1" applyFont="1" applyFill="1" applyAlignment="1">
      <alignment horizontal="center"/>
    </xf>
    <xf numFmtId="0" fontId="46" fillId="41" borderId="0" xfId="0" applyFont="1" applyFill="1" applyAlignment="1">
      <alignment/>
    </xf>
    <xf numFmtId="14" fontId="38" fillId="42" borderId="25" xfId="0" applyNumberFormat="1" applyFont="1" applyFill="1" applyBorder="1" applyAlignment="1" applyProtection="1">
      <alignment horizontal="center"/>
      <protection hidden="1"/>
    </xf>
    <xf numFmtId="0" fontId="48" fillId="41" borderId="0" xfId="0" applyFont="1" applyFill="1" applyAlignment="1" applyProtection="1">
      <alignment/>
      <protection hidden="1"/>
    </xf>
    <xf numFmtId="0" fontId="49" fillId="41" borderId="0" xfId="0" applyFont="1" applyFill="1" applyAlignment="1" applyProtection="1">
      <alignment/>
      <protection hidden="1"/>
    </xf>
    <xf numFmtId="0" fontId="6" fillId="42" borderId="14" xfId="0" applyFont="1" applyFill="1" applyBorder="1" applyAlignment="1">
      <alignment/>
    </xf>
    <xf numFmtId="0" fontId="6" fillId="42" borderId="16" xfId="0" applyFont="1" applyFill="1" applyBorder="1" applyAlignment="1">
      <alignment/>
    </xf>
    <xf numFmtId="0" fontId="6" fillId="42" borderId="23" xfId="0" applyFont="1" applyFill="1" applyBorder="1" applyAlignment="1">
      <alignment/>
    </xf>
    <xf numFmtId="0" fontId="6" fillId="41" borderId="0" xfId="0" applyFont="1" applyFill="1" applyAlignment="1">
      <alignment/>
    </xf>
    <xf numFmtId="0" fontId="3" fillId="42" borderId="0" xfId="0" applyFont="1" applyFill="1" applyBorder="1" applyAlignment="1">
      <alignment horizontal="right"/>
    </xf>
    <xf numFmtId="0" fontId="3" fillId="42" borderId="9" xfId="0" applyFont="1" applyFill="1" applyBorder="1" applyAlignment="1">
      <alignment/>
    </xf>
    <xf numFmtId="49" fontId="3" fillId="42" borderId="9" xfId="0" applyNumberFormat="1" applyFont="1" applyFill="1" applyBorder="1" applyAlignment="1">
      <alignment/>
    </xf>
    <xf numFmtId="0" fontId="3" fillId="42" borderId="0" xfId="0" applyFont="1" applyFill="1" applyBorder="1" applyAlignment="1">
      <alignment horizontal="center"/>
    </xf>
    <xf numFmtId="49" fontId="37" fillId="43" borderId="26" xfId="0" applyNumberFormat="1" applyFont="1" applyFill="1" applyBorder="1" applyAlignment="1" applyProtection="1">
      <alignment horizontal="center"/>
      <protection hidden="1"/>
    </xf>
    <xf numFmtId="0" fontId="3" fillId="42" borderId="0" xfId="0" applyFont="1" applyFill="1" applyBorder="1" applyAlignment="1" applyProtection="1">
      <alignment/>
      <protection hidden="1"/>
    </xf>
    <xf numFmtId="14" fontId="38" fillId="42" borderId="0" xfId="0" applyNumberFormat="1" applyFont="1" applyFill="1" applyBorder="1" applyAlignment="1" applyProtection="1">
      <alignment/>
      <protection hidden="1"/>
    </xf>
    <xf numFmtId="173" fontId="3" fillId="42" borderId="0" xfId="0" applyNumberFormat="1" applyFont="1" applyFill="1" applyBorder="1" applyAlignment="1" applyProtection="1">
      <alignment horizontal="center"/>
      <protection hidden="1"/>
    </xf>
    <xf numFmtId="0" fontId="3" fillId="42" borderId="0" xfId="0" applyFont="1" applyFill="1" applyBorder="1" applyAlignment="1" applyProtection="1">
      <alignment wrapText="1"/>
      <protection hidden="1"/>
    </xf>
    <xf numFmtId="14" fontId="38" fillId="42" borderId="0" xfId="0" applyNumberFormat="1" applyFont="1" applyFill="1" applyBorder="1" applyAlignment="1">
      <alignment/>
    </xf>
    <xf numFmtId="0" fontId="3" fillId="10" borderId="31" xfId="0" applyFont="1" applyFill="1" applyBorder="1" applyAlignment="1" applyProtection="1">
      <alignment horizontal="center" shrinkToFit="1"/>
      <protection hidden="1"/>
    </xf>
    <xf numFmtId="0" fontId="3" fillId="10" borderId="31" xfId="0" applyNumberFormat="1" applyFont="1" applyFill="1" applyBorder="1" applyAlignment="1" applyProtection="1">
      <alignment horizontal="center"/>
      <protection hidden="1" locked="0"/>
    </xf>
    <xf numFmtId="0" fontId="3" fillId="10" borderId="35" xfId="0" applyFont="1" applyFill="1" applyBorder="1" applyAlignment="1" applyProtection="1">
      <alignment horizontal="center" shrinkToFit="1"/>
      <protection hidden="1"/>
    </xf>
    <xf numFmtId="0" fontId="3" fillId="10" borderId="35" xfId="0" applyNumberFormat="1" applyFont="1" applyFill="1" applyBorder="1" applyAlignment="1" applyProtection="1">
      <alignment horizontal="center"/>
      <protection hidden="1" locked="0"/>
    </xf>
    <xf numFmtId="169" fontId="3" fillId="10" borderId="35" xfId="0" applyNumberFormat="1" applyFont="1" applyFill="1" applyBorder="1" applyAlignment="1" applyProtection="1">
      <alignment shrinkToFit="1"/>
      <protection hidden="1"/>
    </xf>
    <xf numFmtId="0" fontId="3" fillId="10" borderId="37" xfId="0" applyFont="1" applyFill="1" applyBorder="1" applyAlignment="1" applyProtection="1">
      <alignment horizontal="center" shrinkToFit="1"/>
      <protection hidden="1"/>
    </xf>
    <xf numFmtId="0" fontId="3" fillId="10" borderId="37" xfId="0" applyNumberFormat="1" applyFont="1" applyFill="1" applyBorder="1" applyAlignment="1" applyProtection="1">
      <alignment horizontal="center"/>
      <protection hidden="1" locked="0"/>
    </xf>
    <xf numFmtId="169" fontId="37" fillId="10" borderId="27" xfId="0" applyNumberFormat="1" applyFont="1" applyFill="1" applyBorder="1" applyAlignment="1" applyProtection="1">
      <alignment horizontal="center"/>
      <protection hidden="1"/>
    </xf>
    <xf numFmtId="169" fontId="41" fillId="42" borderId="30" xfId="0" applyNumberFormat="1" applyFont="1" applyFill="1" applyBorder="1" applyAlignment="1" applyProtection="1">
      <alignment horizontal="center" shrinkToFit="1"/>
      <protection hidden="1"/>
    </xf>
    <xf numFmtId="0" fontId="42" fillId="42" borderId="42" xfId="0" applyFont="1" applyFill="1" applyBorder="1" applyAlignment="1" applyProtection="1">
      <alignment horizontal="right" vertical="center"/>
      <protection hidden="1"/>
    </xf>
    <xf numFmtId="0" fontId="51" fillId="41" borderId="0" xfId="82" applyNumberFormat="1" applyFont="1" applyFill="1" applyProtection="1">
      <alignment/>
      <protection hidden="1"/>
    </xf>
    <xf numFmtId="0" fontId="51" fillId="41" borderId="0" xfId="82" applyNumberFormat="1" applyFont="1" applyFill="1" applyBorder="1" applyProtection="1">
      <alignment/>
      <protection hidden="1"/>
    </xf>
    <xf numFmtId="4" fontId="52" fillId="41" borderId="0" xfId="82" applyNumberFormat="1" applyFont="1" applyFill="1" applyBorder="1" applyAlignment="1" applyProtection="1">
      <alignment horizontal="right"/>
      <protection hidden="1"/>
    </xf>
    <xf numFmtId="0" fontId="51" fillId="41" borderId="0" xfId="82" applyNumberFormat="1" applyFont="1" applyFill="1" applyAlignment="1" applyProtection="1">
      <alignment horizontal="left"/>
      <protection hidden="1"/>
    </xf>
    <xf numFmtId="0" fontId="53" fillId="41" borderId="0" xfId="82" applyNumberFormat="1" applyFont="1" applyFill="1" applyProtection="1">
      <alignment/>
      <protection hidden="1"/>
    </xf>
    <xf numFmtId="0" fontId="54" fillId="41" borderId="0" xfId="82" applyNumberFormat="1" applyFont="1" applyFill="1" applyProtection="1">
      <alignment/>
      <protection hidden="1"/>
    </xf>
    <xf numFmtId="4" fontId="52" fillId="41" borderId="0" xfId="82" applyNumberFormat="1" applyFont="1" applyFill="1" applyAlignment="1" applyProtection="1">
      <alignment horizontal="right"/>
      <protection hidden="1"/>
    </xf>
    <xf numFmtId="0" fontId="55" fillId="41" borderId="0" xfId="82" applyFont="1" applyFill="1" applyProtection="1">
      <alignment/>
      <protection hidden="1"/>
    </xf>
    <xf numFmtId="0" fontId="51" fillId="41" borderId="0" xfId="82" applyFont="1" applyFill="1" applyProtection="1">
      <alignment/>
      <protection hidden="1"/>
    </xf>
    <xf numFmtId="0" fontId="51" fillId="41" borderId="0" xfId="82" applyFont="1" applyFill="1" applyAlignment="1" applyProtection="1">
      <alignment horizontal="left"/>
      <protection hidden="1"/>
    </xf>
    <xf numFmtId="0" fontId="51" fillId="41" borderId="0" xfId="82" applyFont="1" applyFill="1" applyAlignment="1" applyProtection="1">
      <alignment horizontal="center"/>
      <protection hidden="1"/>
    </xf>
    <xf numFmtId="0" fontId="54" fillId="41" borderId="0" xfId="82" applyNumberFormat="1" applyFont="1" applyFill="1" applyProtection="1">
      <alignment/>
      <protection hidden="1"/>
    </xf>
    <xf numFmtId="176" fontId="51" fillId="41" borderId="0" xfId="82" applyNumberFormat="1" applyFont="1" applyFill="1" applyBorder="1" applyAlignment="1" applyProtection="1">
      <alignment horizontal="left"/>
      <protection hidden="1"/>
    </xf>
    <xf numFmtId="0" fontId="53" fillId="41" borderId="0" xfId="82" applyNumberFormat="1" applyFont="1" applyFill="1" applyProtection="1">
      <alignment/>
      <protection hidden="1"/>
    </xf>
    <xf numFmtId="0" fontId="51" fillId="41" borderId="0" xfId="82" applyNumberFormat="1" applyFont="1" applyFill="1" applyAlignment="1" applyProtection="1">
      <alignment horizontal="right"/>
      <protection hidden="1"/>
    </xf>
    <xf numFmtId="0" fontId="51" fillId="41" borderId="0" xfId="82" applyNumberFormat="1" applyFont="1" applyFill="1" applyAlignment="1" applyProtection="1">
      <alignment horizontal="right"/>
      <protection hidden="1"/>
    </xf>
    <xf numFmtId="0" fontId="51" fillId="41" borderId="0" xfId="82" applyNumberFormat="1" applyFont="1" applyFill="1" applyProtection="1">
      <alignment/>
      <protection hidden="1"/>
    </xf>
    <xf numFmtId="0" fontId="54" fillId="41" borderId="0" xfId="82" applyNumberFormat="1" applyFont="1" applyFill="1" applyAlignment="1" applyProtection="1">
      <alignment horizontal="center"/>
      <protection hidden="1"/>
    </xf>
    <xf numFmtId="177" fontId="51" fillId="41" borderId="0" xfId="82" applyNumberFormat="1" applyFont="1" applyFill="1" applyProtection="1">
      <alignment/>
      <protection hidden="1"/>
    </xf>
    <xf numFmtId="2" fontId="51" fillId="41" borderId="0" xfId="82" applyNumberFormat="1" applyFont="1" applyFill="1" applyAlignment="1" applyProtection="1">
      <alignment horizontal="right"/>
      <protection hidden="1"/>
    </xf>
    <xf numFmtId="22" fontId="51" fillId="41" borderId="0" xfId="82" applyNumberFormat="1" applyFont="1" applyFill="1" applyProtection="1">
      <alignment/>
      <protection hidden="1"/>
    </xf>
    <xf numFmtId="0" fontId="53" fillId="41" borderId="0" xfId="82" applyNumberFormat="1" applyFont="1" applyFill="1" applyAlignment="1" applyProtection="1">
      <alignment shrinkToFit="1"/>
      <protection hidden="1"/>
    </xf>
    <xf numFmtId="0" fontId="51" fillId="41" borderId="0" xfId="82" applyNumberFormat="1" applyFont="1" applyFill="1" applyAlignment="1" applyProtection="1">
      <alignment horizontal="left"/>
      <protection hidden="1"/>
    </xf>
    <xf numFmtId="14" fontId="51" fillId="41" borderId="0" xfId="82" applyNumberFormat="1" applyFont="1" applyFill="1" applyProtection="1">
      <alignment/>
      <protection hidden="1"/>
    </xf>
    <xf numFmtId="4" fontId="51" fillId="41" borderId="0" xfId="82" applyNumberFormat="1" applyFont="1" applyFill="1" applyAlignment="1" applyProtection="1">
      <alignment horizontal="right"/>
      <protection hidden="1"/>
    </xf>
    <xf numFmtId="22" fontId="51" fillId="41" borderId="0" xfId="82" applyNumberFormat="1" applyFont="1" applyFill="1" applyProtection="1">
      <alignment/>
      <protection hidden="1"/>
    </xf>
    <xf numFmtId="4" fontId="51" fillId="41" borderId="0" xfId="82" applyNumberFormat="1" applyFont="1" applyFill="1" applyAlignment="1" applyProtection="1">
      <alignment horizontal="left"/>
      <protection hidden="1"/>
    </xf>
    <xf numFmtId="0" fontId="56" fillId="41" borderId="0" xfId="82" applyNumberFormat="1" applyFont="1" applyFill="1" applyProtection="1">
      <alignment/>
      <protection hidden="1"/>
    </xf>
    <xf numFmtId="0" fontId="56" fillId="41" borderId="0" xfId="82" applyNumberFormat="1" applyFont="1" applyFill="1" applyAlignment="1" applyProtection="1">
      <alignment shrinkToFit="1"/>
      <protection hidden="1"/>
    </xf>
    <xf numFmtId="3" fontId="51" fillId="41" borderId="0" xfId="82" applyNumberFormat="1" applyFont="1" applyFill="1" applyProtection="1">
      <alignment/>
      <protection hidden="1"/>
    </xf>
    <xf numFmtId="1" fontId="51" fillId="41" borderId="0" xfId="82" applyNumberFormat="1" applyFont="1" applyFill="1" applyAlignment="1" applyProtection="1">
      <alignment horizontal="right"/>
      <protection hidden="1"/>
    </xf>
    <xf numFmtId="0" fontId="51" fillId="41" borderId="0" xfId="82" applyNumberFormat="1" applyFont="1" applyFill="1" applyBorder="1" applyProtection="1">
      <alignment/>
      <protection hidden="1"/>
    </xf>
    <xf numFmtId="0" fontId="51" fillId="41" borderId="0" xfId="82" applyNumberFormat="1" applyFont="1" applyFill="1" applyAlignment="1" applyProtection="1">
      <alignment vertical="top"/>
      <protection hidden="1"/>
    </xf>
    <xf numFmtId="0" fontId="46" fillId="41" borderId="0" xfId="0" applyFont="1" applyFill="1" applyBorder="1" applyAlignment="1" applyProtection="1">
      <alignment/>
      <protection hidden="1"/>
    </xf>
    <xf numFmtId="174" fontId="37" fillId="42" borderId="1" xfId="96" applyNumberFormat="1" applyFont="1" applyFill="1" applyBorder="1" applyAlignment="1" applyProtection="1">
      <alignment/>
      <protection hidden="1"/>
    </xf>
    <xf numFmtId="0" fontId="35" fillId="42" borderId="1" xfId="0" applyFont="1" applyFill="1" applyBorder="1" applyAlignment="1" applyProtection="1">
      <alignment horizontal="center" wrapText="1"/>
      <protection hidden="1"/>
    </xf>
    <xf numFmtId="0" fontId="46" fillId="41" borderId="0" xfId="0" applyFont="1" applyFill="1" applyBorder="1" applyAlignment="1" applyProtection="1">
      <alignment horizontal="left" vertical="center" wrapText="1"/>
      <protection hidden="1"/>
    </xf>
    <xf numFmtId="0" fontId="46" fillId="41" borderId="0" xfId="0" applyFont="1" applyFill="1" applyBorder="1" applyAlignment="1" applyProtection="1">
      <alignment horizontal="left" shrinkToFit="1"/>
      <protection hidden="1"/>
    </xf>
    <xf numFmtId="0" fontId="46" fillId="41" borderId="0" xfId="0" applyFont="1" applyFill="1" applyBorder="1" applyAlignment="1" applyProtection="1">
      <alignment horizontal="left"/>
      <protection hidden="1"/>
    </xf>
    <xf numFmtId="0" fontId="46" fillId="41" borderId="0" xfId="0" applyFont="1" applyFill="1" applyAlignment="1" applyProtection="1">
      <alignment horizontal="left"/>
      <protection hidden="1"/>
    </xf>
    <xf numFmtId="0" fontId="46" fillId="41" borderId="0" xfId="0" applyFont="1" applyFill="1" applyAlignment="1">
      <alignment horizontal="left" vertical="top"/>
    </xf>
    <xf numFmtId="0" fontId="46" fillId="41" borderId="0" xfId="81" applyFont="1" applyFill="1" applyBorder="1" applyAlignment="1" applyProtection="1" quotePrefix="1">
      <alignment horizontal="left"/>
      <protection hidden="1"/>
    </xf>
    <xf numFmtId="0" fontId="46" fillId="41" borderId="0" xfId="0" applyNumberFormat="1" applyFont="1" applyFill="1" applyAlignment="1">
      <alignment/>
    </xf>
    <xf numFmtId="0" fontId="46" fillId="41" borderId="0" xfId="81" applyFont="1" applyFill="1" applyBorder="1" applyProtection="1">
      <alignment/>
      <protection hidden="1"/>
    </xf>
    <xf numFmtId="0" fontId="46" fillId="41" borderId="0" xfId="81" applyFont="1" applyFill="1" applyBorder="1" applyAlignment="1" applyProtection="1">
      <alignment horizontal="left"/>
      <protection hidden="1"/>
    </xf>
    <xf numFmtId="0" fontId="46" fillId="41" borderId="0" xfId="80" applyFont="1" applyFill="1" applyBorder="1" applyProtection="1">
      <alignment/>
      <protection hidden="1"/>
    </xf>
    <xf numFmtId="0" fontId="58" fillId="41" borderId="0" xfId="80" applyFont="1" applyFill="1" applyBorder="1" applyProtection="1">
      <alignment/>
      <protection hidden="1"/>
    </xf>
    <xf numFmtId="0" fontId="58" fillId="41" borderId="0" xfId="80" applyFont="1" applyFill="1" applyBorder="1" applyAlignment="1" applyProtection="1">
      <alignment vertical="center" wrapText="1"/>
      <protection hidden="1"/>
    </xf>
    <xf numFmtId="1" fontId="58" fillId="41" borderId="0" xfId="80" applyNumberFormat="1" applyFont="1" applyFill="1" applyBorder="1" applyProtection="1">
      <alignment/>
      <protection hidden="1"/>
    </xf>
    <xf numFmtId="0" fontId="58" fillId="41" borderId="0" xfId="80" applyFont="1" applyFill="1" applyBorder="1" applyAlignment="1" applyProtection="1">
      <alignment horizontal="center" vertical="center" wrapText="1"/>
      <protection hidden="1"/>
    </xf>
    <xf numFmtId="0" fontId="58" fillId="41" borderId="0" xfId="80" applyFont="1" applyFill="1" applyBorder="1" applyAlignment="1" applyProtection="1" quotePrefix="1">
      <alignment horizontal="center" vertical="center" wrapText="1"/>
      <protection hidden="1"/>
    </xf>
    <xf numFmtId="1" fontId="46" fillId="41" borderId="0" xfId="80" applyNumberFormat="1" applyFont="1" applyFill="1" applyBorder="1" applyProtection="1">
      <alignment/>
      <protection hidden="1"/>
    </xf>
    <xf numFmtId="169" fontId="46" fillId="41" borderId="0" xfId="80" applyNumberFormat="1" applyFont="1" applyFill="1" applyBorder="1" applyAlignment="1" applyProtection="1">
      <alignment shrinkToFit="1"/>
      <protection hidden="1"/>
    </xf>
    <xf numFmtId="0" fontId="3" fillId="42" borderId="37" xfId="0" applyFont="1" applyFill="1" applyBorder="1" applyAlignment="1">
      <alignment horizontal="center" vertical="center" wrapText="1"/>
    </xf>
    <xf numFmtId="0" fontId="3" fillId="42" borderId="0" xfId="0" applyNumberFormat="1" applyFont="1" applyFill="1" applyBorder="1" applyAlignment="1">
      <alignment horizontal="justify"/>
    </xf>
    <xf numFmtId="0" fontId="58" fillId="41" borderId="0" xfId="0" applyFont="1" applyFill="1" applyBorder="1" applyAlignment="1" applyProtection="1">
      <alignment horizontal="center"/>
      <protection hidden="1"/>
    </xf>
    <xf numFmtId="0" fontId="46" fillId="41" borderId="0" xfId="0" applyFont="1" applyFill="1" applyBorder="1" applyAlignment="1" applyProtection="1">
      <alignment/>
      <protection locked="0"/>
    </xf>
    <xf numFmtId="0" fontId="58" fillId="41" borderId="0" xfId="0" applyFont="1" applyFill="1" applyBorder="1" applyAlignment="1" applyProtection="1">
      <alignment horizontal="center" wrapText="1"/>
      <protection hidden="1"/>
    </xf>
    <xf numFmtId="0" fontId="46" fillId="41" borderId="0" xfId="0" applyNumberFormat="1" applyFont="1" applyFill="1" applyBorder="1" applyAlignment="1" applyProtection="1">
      <alignment/>
      <protection hidden="1"/>
    </xf>
    <xf numFmtId="0" fontId="3" fillId="41" borderId="0" xfId="0" applyFont="1" applyFill="1" applyAlignment="1" applyProtection="1">
      <alignment/>
      <protection hidden="1"/>
    </xf>
    <xf numFmtId="0" fontId="3" fillId="41" borderId="0" xfId="0" applyFont="1" applyFill="1" applyBorder="1" applyAlignment="1" applyProtection="1">
      <alignment/>
      <protection hidden="1"/>
    </xf>
    <xf numFmtId="0" fontId="46" fillId="41" borderId="0" xfId="0" applyFont="1" applyFill="1" applyBorder="1" applyAlignment="1" applyProtection="1">
      <alignment horizontal="center"/>
      <protection hidden="1"/>
    </xf>
    <xf numFmtId="0" fontId="4" fillId="41" borderId="0" xfId="0" applyFont="1" applyFill="1" applyAlignment="1" applyProtection="1">
      <alignment/>
      <protection hidden="1"/>
    </xf>
    <xf numFmtId="0" fontId="59" fillId="41" borderId="0" xfId="0" applyFont="1" applyFill="1" applyAlignment="1">
      <alignment/>
    </xf>
    <xf numFmtId="171" fontId="37" fillId="42" borderId="31" xfId="96" applyNumberFormat="1" applyFont="1" applyFill="1" applyBorder="1" applyAlignment="1" applyProtection="1">
      <alignment shrinkToFit="1"/>
      <protection hidden="1" locked="0"/>
    </xf>
    <xf numFmtId="171" fontId="37" fillId="42" borderId="36" xfId="96" applyNumberFormat="1" applyFont="1" applyFill="1" applyBorder="1" applyAlignment="1" applyProtection="1">
      <alignment/>
      <protection hidden="1" locked="0"/>
    </xf>
    <xf numFmtId="171" fontId="37" fillId="42" borderId="35" xfId="96" applyNumberFormat="1" applyFont="1" applyFill="1" applyBorder="1" applyAlignment="1" applyProtection="1">
      <alignment horizontal="left"/>
      <protection hidden="1" locked="0"/>
    </xf>
    <xf numFmtId="171" fontId="37" fillId="42" borderId="37" xfId="96" applyNumberFormat="1" applyFont="1" applyFill="1" applyBorder="1" applyAlignment="1" applyProtection="1">
      <alignment horizontal="left"/>
      <protection hidden="1" locked="0"/>
    </xf>
    <xf numFmtId="171" fontId="37" fillId="42" borderId="31" xfId="96" applyNumberFormat="1" applyFont="1" applyFill="1" applyBorder="1" applyAlignment="1" applyProtection="1">
      <alignment/>
      <protection hidden="1" locked="0"/>
    </xf>
    <xf numFmtId="171" fontId="37" fillId="42" borderId="35" xfId="96" applyNumberFormat="1" applyFont="1" applyFill="1" applyBorder="1" applyAlignment="1" applyProtection="1">
      <alignment/>
      <protection hidden="1" locked="0"/>
    </xf>
    <xf numFmtId="171" fontId="37" fillId="42" borderId="42" xfId="96" applyNumberFormat="1" applyFont="1" applyFill="1" applyBorder="1" applyAlignment="1" applyProtection="1">
      <alignment/>
      <protection hidden="1" locked="0"/>
    </xf>
    <xf numFmtId="171" fontId="3" fillId="10" borderId="32" xfId="96" applyNumberFormat="1" applyFont="1" applyFill="1" applyBorder="1" applyAlignment="1" applyProtection="1">
      <alignment shrinkToFit="1"/>
      <protection hidden="1"/>
    </xf>
    <xf numFmtId="171" fontId="6" fillId="42" borderId="43" xfId="0" applyNumberFormat="1" applyFont="1" applyFill="1" applyBorder="1" applyAlignment="1" applyProtection="1">
      <alignment/>
      <protection hidden="1"/>
    </xf>
    <xf numFmtId="171" fontId="3" fillId="10" borderId="36" xfId="96" applyNumberFormat="1" applyFont="1" applyFill="1" applyBorder="1" applyAlignment="1" applyProtection="1">
      <alignment shrinkToFit="1"/>
      <protection hidden="1"/>
    </xf>
    <xf numFmtId="171" fontId="3" fillId="10" borderId="38" xfId="96" applyNumberFormat="1" applyFont="1" applyFill="1" applyBorder="1" applyAlignment="1" applyProtection="1">
      <alignment shrinkToFit="1"/>
      <protection hidden="1"/>
    </xf>
    <xf numFmtId="171" fontId="3" fillId="42" borderId="17" xfId="96" applyNumberFormat="1" applyFont="1" applyFill="1" applyBorder="1" applyAlignment="1" applyProtection="1">
      <alignment shrinkToFit="1"/>
      <protection hidden="1"/>
    </xf>
    <xf numFmtId="171" fontId="3" fillId="10" borderId="31" xfId="96" applyNumberFormat="1" applyFont="1" applyFill="1" applyBorder="1" applyAlignment="1" applyProtection="1">
      <alignment shrinkToFit="1"/>
      <protection hidden="1"/>
    </xf>
    <xf numFmtId="171" fontId="3" fillId="10" borderId="35" xfId="96" applyNumberFormat="1" applyFont="1" applyFill="1" applyBorder="1" applyAlignment="1" applyProtection="1">
      <alignment shrinkToFit="1"/>
      <protection hidden="1"/>
    </xf>
    <xf numFmtId="171" fontId="3" fillId="10" borderId="17" xfId="96" applyNumberFormat="1" applyFont="1" applyFill="1" applyBorder="1" applyAlignment="1" applyProtection="1">
      <alignment shrinkToFit="1"/>
      <protection hidden="1"/>
    </xf>
    <xf numFmtId="171" fontId="35" fillId="42" borderId="43" xfId="0" applyNumberFormat="1" applyFont="1" applyFill="1" applyBorder="1" applyAlignment="1" applyProtection="1">
      <alignment/>
      <protection hidden="1"/>
    </xf>
    <xf numFmtId="171" fontId="3" fillId="42" borderId="29" xfId="96" applyNumberFormat="1" applyFont="1" applyFill="1" applyBorder="1" applyAlignment="1" applyProtection="1">
      <alignment shrinkToFit="1"/>
      <protection hidden="1"/>
    </xf>
    <xf numFmtId="171" fontId="3" fillId="10" borderId="1" xfId="96" applyNumberFormat="1" applyFont="1" applyFill="1" applyBorder="1" applyAlignment="1" applyProtection="1">
      <alignment shrinkToFit="1"/>
      <protection hidden="1"/>
    </xf>
    <xf numFmtId="171" fontId="3" fillId="42" borderId="30" xfId="0" applyNumberFormat="1" applyFont="1" applyFill="1" applyBorder="1" applyAlignment="1" applyProtection="1">
      <alignment shrinkToFit="1"/>
      <protection hidden="1"/>
    </xf>
    <xf numFmtId="171" fontId="3" fillId="10" borderId="29" xfId="96" applyNumberFormat="1" applyFont="1" applyFill="1" applyBorder="1" applyAlignment="1" applyProtection="1">
      <alignment shrinkToFit="1"/>
      <protection hidden="1"/>
    </xf>
    <xf numFmtId="171" fontId="4" fillId="42" borderId="17" xfId="96" applyNumberFormat="1" applyFont="1" applyFill="1" applyBorder="1" applyAlignment="1" applyProtection="1">
      <alignment/>
      <protection hidden="1"/>
    </xf>
    <xf numFmtId="171" fontId="36" fillId="42" borderId="1" xfId="96" applyNumberFormat="1" applyFont="1" applyFill="1" applyBorder="1" applyAlignment="1" applyProtection="1">
      <alignment/>
      <protection hidden="1"/>
    </xf>
    <xf numFmtId="171" fontId="37" fillId="10" borderId="31" xfId="0" applyNumberFormat="1" applyFont="1" applyFill="1" applyBorder="1" applyAlignment="1" applyProtection="1">
      <alignment shrinkToFit="1"/>
      <protection hidden="1"/>
    </xf>
    <xf numFmtId="171" fontId="4" fillId="42" borderId="31" xfId="0" applyNumberFormat="1" applyFont="1" applyFill="1" applyBorder="1" applyAlignment="1" applyProtection="1">
      <alignment horizontal="center" shrinkToFit="1"/>
      <protection hidden="1"/>
    </xf>
    <xf numFmtId="171" fontId="37" fillId="10" borderId="35" xfId="0" applyNumberFormat="1" applyFont="1" applyFill="1" applyBorder="1" applyAlignment="1" applyProtection="1">
      <alignment shrinkToFit="1"/>
      <protection hidden="1"/>
    </xf>
    <xf numFmtId="171" fontId="4" fillId="42" borderId="35" xfId="0" applyNumberFormat="1" applyFont="1" applyFill="1" applyBorder="1" applyAlignment="1" applyProtection="1">
      <alignment horizontal="center" shrinkToFit="1"/>
      <protection hidden="1"/>
    </xf>
    <xf numFmtId="171" fontId="4" fillId="42" borderId="35" xfId="0" applyNumberFormat="1" applyFont="1" applyFill="1" applyBorder="1" applyAlignment="1" applyProtection="1">
      <alignment horizontal="center"/>
      <protection hidden="1"/>
    </xf>
    <xf numFmtId="171" fontId="37" fillId="10" borderId="37" xfId="0" applyNumberFormat="1" applyFont="1" applyFill="1" applyBorder="1" applyAlignment="1" applyProtection="1">
      <alignment shrinkToFit="1"/>
      <protection hidden="1"/>
    </xf>
    <xf numFmtId="171" fontId="4" fillId="42" borderId="37" xfId="0" applyNumberFormat="1" applyFont="1" applyFill="1" applyBorder="1" applyAlignment="1" applyProtection="1">
      <alignment horizontal="center" shrinkToFit="1"/>
      <protection hidden="1"/>
    </xf>
    <xf numFmtId="171" fontId="36" fillId="10" borderId="1" xfId="0" applyNumberFormat="1" applyFont="1" applyFill="1" applyBorder="1" applyAlignment="1" applyProtection="1">
      <alignment shrinkToFit="1"/>
      <protection hidden="1"/>
    </xf>
    <xf numFmtId="171" fontId="42" fillId="42" borderId="31" xfId="0" applyNumberFormat="1" applyFont="1" applyFill="1" applyBorder="1" applyAlignment="1" applyProtection="1">
      <alignment shrinkToFit="1"/>
      <protection hidden="1"/>
    </xf>
    <xf numFmtId="171" fontId="42" fillId="42" borderId="31" xfId="0" applyNumberFormat="1" applyFont="1" applyFill="1" applyBorder="1" applyAlignment="1" applyProtection="1">
      <alignment horizontal="center" vertical="center" shrinkToFit="1"/>
      <protection hidden="1"/>
    </xf>
    <xf numFmtId="171" fontId="42" fillId="42" borderId="31" xfId="0" applyNumberFormat="1" applyFont="1" applyFill="1" applyBorder="1" applyAlignment="1" applyProtection="1">
      <alignment vertical="center" shrinkToFit="1"/>
      <protection hidden="1"/>
    </xf>
    <xf numFmtId="171" fontId="42" fillId="42" borderId="35" xfId="0" applyNumberFormat="1" applyFont="1" applyFill="1" applyBorder="1" applyAlignment="1" applyProtection="1">
      <alignment shrinkToFit="1"/>
      <protection hidden="1"/>
    </xf>
    <xf numFmtId="171" fontId="42" fillId="42" borderId="35" xfId="0" applyNumberFormat="1" applyFont="1" applyFill="1" applyBorder="1" applyAlignment="1" applyProtection="1">
      <alignment horizontal="center" vertical="center" shrinkToFit="1"/>
      <protection hidden="1"/>
    </xf>
    <xf numFmtId="171" fontId="42" fillId="42" borderId="35" xfId="0" applyNumberFormat="1" applyFont="1" applyFill="1" applyBorder="1" applyAlignment="1" applyProtection="1">
      <alignment vertical="center" shrinkToFit="1"/>
      <protection hidden="1"/>
    </xf>
    <xf numFmtId="171" fontId="42" fillId="42" borderId="37" xfId="0" applyNumberFormat="1" applyFont="1" applyFill="1" applyBorder="1" applyAlignment="1" applyProtection="1">
      <alignment shrinkToFit="1"/>
      <protection hidden="1"/>
    </xf>
    <xf numFmtId="171" fontId="42" fillId="42" borderId="37" xfId="0" applyNumberFormat="1" applyFont="1" applyFill="1" applyBorder="1" applyAlignment="1" applyProtection="1">
      <alignment horizontal="center" vertical="center" shrinkToFit="1"/>
      <protection hidden="1"/>
    </xf>
    <xf numFmtId="171" fontId="42" fillId="42" borderId="37" xfId="0" applyNumberFormat="1" applyFont="1" applyFill="1" applyBorder="1" applyAlignment="1" applyProtection="1">
      <alignment vertical="center" shrinkToFit="1"/>
      <protection hidden="1"/>
    </xf>
    <xf numFmtId="171" fontId="41" fillId="42" borderId="30" xfId="0" applyNumberFormat="1" applyFont="1" applyFill="1" applyBorder="1" applyAlignment="1" applyProtection="1">
      <alignment shrinkToFit="1"/>
      <protection hidden="1"/>
    </xf>
    <xf numFmtId="0" fontId="46" fillId="41" borderId="0" xfId="0" applyFont="1" applyFill="1" applyAlignment="1" applyProtection="1">
      <alignment/>
      <protection hidden="1"/>
    </xf>
    <xf numFmtId="0" fontId="58" fillId="41" borderId="0" xfId="0" applyFont="1" applyFill="1" applyBorder="1" applyAlignment="1" applyProtection="1" quotePrefix="1">
      <alignment horizontal="center" vertical="center" wrapText="1"/>
      <protection hidden="1"/>
    </xf>
    <xf numFmtId="0" fontId="58" fillId="41" borderId="0" xfId="0" applyFont="1" applyFill="1" applyBorder="1" applyAlignment="1" applyProtection="1">
      <alignment vertical="center" wrapText="1"/>
      <protection hidden="1"/>
    </xf>
    <xf numFmtId="0" fontId="46" fillId="41" borderId="0" xfId="0" applyFont="1" applyFill="1" applyBorder="1" applyAlignment="1" applyProtection="1">
      <alignment/>
      <protection/>
    </xf>
    <xf numFmtId="4" fontId="46" fillId="41" borderId="0" xfId="0" applyNumberFormat="1" applyFont="1" applyFill="1" applyBorder="1" applyAlignment="1" applyProtection="1">
      <alignment/>
      <protection/>
    </xf>
    <xf numFmtId="3" fontId="46" fillId="41" borderId="0" xfId="0" applyNumberFormat="1" applyFont="1" applyFill="1" applyBorder="1" applyAlignment="1" applyProtection="1">
      <alignment horizontal="right"/>
      <protection/>
    </xf>
    <xf numFmtId="3" fontId="46" fillId="41" borderId="0" xfId="0" applyNumberFormat="1" applyFont="1" applyFill="1" applyBorder="1" applyAlignment="1" applyProtection="1">
      <alignment/>
      <protection/>
    </xf>
    <xf numFmtId="1" fontId="46" fillId="41" borderId="0" xfId="0" applyNumberFormat="1" applyFont="1" applyFill="1" applyBorder="1" applyAlignment="1" applyProtection="1">
      <alignment horizontal="right"/>
      <protection/>
    </xf>
    <xf numFmtId="0" fontId="46" fillId="41" borderId="0" xfId="0" applyFont="1" applyFill="1" applyBorder="1" applyAlignment="1" applyProtection="1">
      <alignment horizontal="right"/>
      <protection/>
    </xf>
    <xf numFmtId="0" fontId="46" fillId="41" borderId="0" xfId="79" applyFont="1" applyFill="1" applyBorder="1" applyAlignment="1" applyProtection="1">
      <alignment horizontal="right" vertical="top"/>
      <protection/>
    </xf>
    <xf numFmtId="0" fontId="46" fillId="41" borderId="0" xfId="79" applyFont="1" applyFill="1" applyBorder="1" applyAlignment="1" applyProtection="1">
      <alignment vertical="top"/>
      <protection/>
    </xf>
    <xf numFmtId="0" fontId="46" fillId="41" borderId="0" xfId="79" applyFont="1" applyFill="1" applyBorder="1" applyAlignment="1" applyProtection="1">
      <alignment horizontal="right" vertical="center"/>
      <protection/>
    </xf>
    <xf numFmtId="0" fontId="46" fillId="41" borderId="0" xfId="79" applyFont="1" applyFill="1" applyBorder="1" applyAlignment="1" applyProtection="1">
      <alignment vertical="center"/>
      <protection/>
    </xf>
    <xf numFmtId="14" fontId="46" fillId="41" borderId="0" xfId="0" applyNumberFormat="1" applyFont="1" applyFill="1" applyBorder="1" applyAlignment="1" applyProtection="1">
      <alignment/>
      <protection hidden="1"/>
    </xf>
    <xf numFmtId="0" fontId="58" fillId="41" borderId="0" xfId="0" applyFont="1" applyFill="1" applyBorder="1" applyAlignment="1" applyProtection="1" quotePrefix="1">
      <alignment vertical="center" wrapText="1"/>
      <protection hidden="1"/>
    </xf>
    <xf numFmtId="0" fontId="58" fillId="41" borderId="0" xfId="0" applyFont="1" applyFill="1" applyBorder="1" applyAlignment="1" applyProtection="1">
      <alignment horizontal="left" wrapText="1"/>
      <protection hidden="1"/>
    </xf>
    <xf numFmtId="0" fontId="58" fillId="41" borderId="0" xfId="0" applyFont="1" applyFill="1" applyBorder="1" applyAlignment="1" applyProtection="1" quotePrefix="1">
      <alignment horizontal="left" wrapText="1"/>
      <protection hidden="1"/>
    </xf>
    <xf numFmtId="0" fontId="46" fillId="41" borderId="0" xfId="0" applyFont="1" applyFill="1" applyBorder="1" applyAlignment="1" applyProtection="1">
      <alignment horizontal="center" vertical="center" wrapText="1"/>
      <protection hidden="1"/>
    </xf>
    <xf numFmtId="14" fontId="46" fillId="41" borderId="0" xfId="0" applyNumberFormat="1" applyFont="1" applyFill="1" applyBorder="1" applyAlignment="1" applyProtection="1">
      <alignment horizontal="center" vertical="center" wrapText="1"/>
      <protection hidden="1"/>
    </xf>
    <xf numFmtId="0" fontId="61" fillId="41" borderId="0" xfId="0" applyFont="1" applyFill="1" applyBorder="1" applyAlignment="1" applyProtection="1">
      <alignment wrapText="1"/>
      <protection hidden="1"/>
    </xf>
    <xf numFmtId="173" fontId="46" fillId="41" borderId="0" xfId="0" applyNumberFormat="1" applyFont="1" applyFill="1" applyBorder="1" applyAlignment="1" applyProtection="1">
      <alignment wrapText="1"/>
      <protection hidden="1"/>
    </xf>
    <xf numFmtId="0" fontId="46" fillId="41" borderId="0" xfId="0" applyNumberFormat="1" applyFont="1" applyFill="1" applyBorder="1" applyAlignment="1" applyProtection="1">
      <alignment shrinkToFit="1"/>
      <protection hidden="1"/>
    </xf>
    <xf numFmtId="171" fontId="46" fillId="41" borderId="0" xfId="0" applyNumberFormat="1" applyFont="1" applyFill="1" applyBorder="1" applyAlignment="1" applyProtection="1">
      <alignment horizontal="center"/>
      <protection hidden="1"/>
    </xf>
    <xf numFmtId="171" fontId="46" fillId="41" borderId="0" xfId="0" applyNumberFormat="1" applyFont="1" applyFill="1" applyBorder="1" applyAlignment="1" applyProtection="1">
      <alignment shrinkToFit="1"/>
      <protection hidden="1"/>
    </xf>
    <xf numFmtId="0" fontId="46" fillId="41" borderId="0" xfId="0" applyFont="1" applyFill="1" applyBorder="1" applyAlignment="1" applyProtection="1">
      <alignment horizontal="center" vertical="center"/>
      <protection hidden="1"/>
    </xf>
    <xf numFmtId="173" fontId="46" fillId="41" borderId="0" xfId="0" applyNumberFormat="1" applyFont="1" applyFill="1" applyBorder="1" applyAlignment="1" applyProtection="1">
      <alignment/>
      <protection hidden="1"/>
    </xf>
    <xf numFmtId="169" fontId="46" fillId="41" borderId="0" xfId="0" applyNumberFormat="1" applyFont="1" applyFill="1" applyBorder="1" applyAlignment="1" applyProtection="1">
      <alignment horizontal="center"/>
      <protection hidden="1"/>
    </xf>
    <xf numFmtId="169" fontId="46" fillId="41" borderId="0" xfId="0" applyNumberFormat="1" applyFont="1" applyFill="1" applyBorder="1" applyAlignment="1" applyProtection="1">
      <alignment shrinkToFit="1"/>
      <protection hidden="1"/>
    </xf>
    <xf numFmtId="0" fontId="46" fillId="41" borderId="0" xfId="0" applyFont="1" applyFill="1" applyBorder="1" applyAlignment="1" applyProtection="1">
      <alignment/>
      <protection hidden="1"/>
    </xf>
    <xf numFmtId="0" fontId="58" fillId="41" borderId="0" xfId="0" applyFont="1" applyFill="1" applyBorder="1" applyAlignment="1" applyProtection="1">
      <alignment vertical="top" wrapText="1"/>
      <protection hidden="1"/>
    </xf>
    <xf numFmtId="0" fontId="58" fillId="41" borderId="0" xfId="0" applyFont="1" applyFill="1" applyBorder="1" applyAlignment="1" applyProtection="1" quotePrefix="1">
      <alignment horizontal="center" wrapText="1"/>
      <protection hidden="1"/>
    </xf>
    <xf numFmtId="14" fontId="46" fillId="41" borderId="0" xfId="0" applyNumberFormat="1" applyFont="1" applyFill="1" applyBorder="1" applyAlignment="1" applyProtection="1">
      <alignment/>
      <protection hidden="1"/>
    </xf>
    <xf numFmtId="171" fontId="46" fillId="41" borderId="0" xfId="0" applyNumberFormat="1" applyFont="1" applyFill="1" applyBorder="1" applyAlignment="1" applyProtection="1">
      <alignment/>
      <protection hidden="1"/>
    </xf>
    <xf numFmtId="0" fontId="46" fillId="41" borderId="0" xfId="0" applyFont="1" applyFill="1" applyBorder="1" applyAlignment="1" applyProtection="1">
      <alignment horizontal="center" shrinkToFit="1"/>
      <protection hidden="1"/>
    </xf>
    <xf numFmtId="1" fontId="46" fillId="41" borderId="0" xfId="0" applyNumberFormat="1" applyFont="1" applyFill="1" applyBorder="1" applyAlignment="1" applyProtection="1">
      <alignment/>
      <protection hidden="1"/>
    </xf>
    <xf numFmtId="1" fontId="46" fillId="41" borderId="0" xfId="0" applyNumberFormat="1" applyFont="1" applyFill="1" applyBorder="1" applyAlignment="1" applyProtection="1">
      <alignment/>
      <protection hidden="1"/>
    </xf>
    <xf numFmtId="0" fontId="58" fillId="41" borderId="0" xfId="0" applyFont="1" applyFill="1" applyBorder="1" applyAlignment="1" applyProtection="1">
      <alignment/>
      <protection hidden="1"/>
    </xf>
    <xf numFmtId="0" fontId="46" fillId="44" borderId="0" xfId="0" applyFont="1" applyFill="1" applyAlignment="1" applyProtection="1">
      <alignment vertical="center"/>
      <protection hidden="1"/>
    </xf>
    <xf numFmtId="169" fontId="46" fillId="41" borderId="0" xfId="0" applyNumberFormat="1" applyFont="1" applyFill="1" applyBorder="1" applyAlignment="1" applyProtection="1">
      <alignment/>
      <protection hidden="1"/>
    </xf>
    <xf numFmtId="169" fontId="46" fillId="41" borderId="0" xfId="0" applyNumberFormat="1" applyFont="1" applyFill="1" applyBorder="1" applyAlignment="1" applyProtection="1">
      <alignment/>
      <protection hidden="1"/>
    </xf>
    <xf numFmtId="0" fontId="46" fillId="41" borderId="0" xfId="0" applyNumberFormat="1" applyFont="1" applyFill="1" applyBorder="1" applyAlignment="1" applyProtection="1">
      <alignment horizontal="left"/>
      <protection hidden="1"/>
    </xf>
    <xf numFmtId="9" fontId="46" fillId="41" borderId="0" xfId="81" applyNumberFormat="1" applyFont="1" applyFill="1" applyBorder="1">
      <alignment/>
      <protection/>
    </xf>
    <xf numFmtId="0" fontId="46" fillId="41" borderId="0" xfId="81" applyFont="1" applyFill="1" applyBorder="1">
      <alignment/>
      <protection/>
    </xf>
    <xf numFmtId="0" fontId="46" fillId="41" borderId="0" xfId="81" applyFont="1" applyFill="1">
      <alignment/>
      <protection/>
    </xf>
    <xf numFmtId="169" fontId="46" fillId="41" borderId="0" xfId="81" applyNumberFormat="1" applyFont="1" applyFill="1" applyBorder="1">
      <alignment/>
      <protection/>
    </xf>
    <xf numFmtId="169" fontId="58" fillId="41" borderId="0" xfId="81" applyNumberFormat="1" applyFont="1" applyFill="1" applyBorder="1">
      <alignment/>
      <protection/>
    </xf>
    <xf numFmtId="3" fontId="46" fillId="41" borderId="0" xfId="81" applyNumberFormat="1" applyFont="1" applyFill="1" applyBorder="1">
      <alignment/>
      <protection/>
    </xf>
    <xf numFmtId="0" fontId="46" fillId="41" borderId="0" xfId="0" applyFont="1" applyFill="1" applyBorder="1" applyAlignment="1">
      <alignment/>
    </xf>
    <xf numFmtId="2" fontId="46" fillId="41" borderId="0" xfId="0" applyNumberFormat="1" applyFont="1" applyFill="1" applyBorder="1" applyAlignment="1">
      <alignment/>
    </xf>
    <xf numFmtId="1" fontId="46" fillId="41" borderId="0" xfId="0" applyNumberFormat="1" applyFont="1" applyFill="1" applyBorder="1" applyAlignment="1">
      <alignment/>
    </xf>
    <xf numFmtId="14" fontId="46" fillId="41" borderId="0" xfId="0" applyNumberFormat="1" applyFont="1" applyFill="1" applyBorder="1" applyAlignment="1">
      <alignment/>
    </xf>
    <xf numFmtId="0" fontId="46" fillId="41" borderId="0" xfId="0" applyFont="1" applyFill="1" applyBorder="1" applyAlignment="1">
      <alignment shrinkToFit="1"/>
    </xf>
    <xf numFmtId="0" fontId="62" fillId="41" borderId="0" xfId="0" applyFont="1" applyFill="1" applyBorder="1" applyAlignment="1">
      <alignment/>
    </xf>
    <xf numFmtId="14" fontId="46" fillId="41" borderId="0" xfId="0" applyNumberFormat="1" applyFont="1" applyFill="1" applyBorder="1" applyAlignment="1">
      <alignment shrinkToFit="1"/>
    </xf>
    <xf numFmtId="1" fontId="46" fillId="41" borderId="0" xfId="0" applyNumberFormat="1" applyFont="1" applyFill="1" applyBorder="1" applyAlignment="1">
      <alignment shrinkToFit="1"/>
    </xf>
    <xf numFmtId="3" fontId="46" fillId="41" borderId="0" xfId="0" applyNumberFormat="1" applyFont="1" applyFill="1" applyBorder="1" applyAlignment="1">
      <alignment/>
    </xf>
    <xf numFmtId="0" fontId="6" fillId="41" borderId="0" xfId="0" applyFont="1" applyFill="1" applyBorder="1" applyAlignment="1" applyProtection="1">
      <alignment/>
      <protection locked="0"/>
    </xf>
    <xf numFmtId="0" fontId="6" fillId="42" borderId="14" xfId="0" applyFont="1" applyFill="1" applyBorder="1" applyAlignment="1" applyProtection="1">
      <alignment/>
      <protection hidden="1"/>
    </xf>
    <xf numFmtId="0" fontId="6" fillId="42" borderId="16" xfId="0" applyFont="1" applyFill="1" applyBorder="1" applyAlignment="1" applyProtection="1">
      <alignment horizontal="center" vertical="center" wrapText="1"/>
      <protection hidden="1"/>
    </xf>
    <xf numFmtId="0" fontId="63" fillId="42" borderId="16" xfId="0" applyFont="1" applyFill="1" applyBorder="1" applyAlignment="1" applyProtection="1">
      <alignment wrapText="1"/>
      <protection hidden="1"/>
    </xf>
    <xf numFmtId="0" fontId="6" fillId="42" borderId="16" xfId="0" applyFont="1" applyFill="1" applyBorder="1" applyAlignment="1" applyProtection="1">
      <alignment/>
      <protection hidden="1"/>
    </xf>
    <xf numFmtId="0" fontId="6" fillId="42" borderId="16" xfId="0" applyFont="1" applyFill="1" applyBorder="1" applyAlignment="1" applyProtection="1">
      <alignment/>
      <protection hidden="1"/>
    </xf>
    <xf numFmtId="0" fontId="35" fillId="42" borderId="44" xfId="0" applyFont="1" applyFill="1" applyBorder="1" applyAlignment="1" applyProtection="1">
      <alignment vertical="top" wrapText="1"/>
      <protection hidden="1"/>
    </xf>
    <xf numFmtId="1" fontId="6" fillId="42" borderId="16" xfId="0" applyNumberFormat="1" applyFont="1" applyFill="1" applyBorder="1" applyAlignment="1" applyProtection="1">
      <alignment/>
      <protection hidden="1"/>
    </xf>
    <xf numFmtId="0" fontId="35" fillId="42" borderId="16" xfId="0" applyFont="1" applyFill="1" applyBorder="1" applyAlignment="1" applyProtection="1">
      <alignment/>
      <protection hidden="1"/>
    </xf>
    <xf numFmtId="0" fontId="6" fillId="42" borderId="16" xfId="0" applyNumberFormat="1" applyFont="1" applyFill="1" applyBorder="1" applyAlignment="1" applyProtection="1">
      <alignment/>
      <protection hidden="1"/>
    </xf>
    <xf numFmtId="0" fontId="6" fillId="42" borderId="23" xfId="0" applyFont="1" applyFill="1" applyBorder="1" applyAlignment="1" applyProtection="1">
      <alignment/>
      <protection hidden="1"/>
    </xf>
    <xf numFmtId="0" fontId="46" fillId="41" borderId="0" xfId="0" applyFont="1" applyFill="1" applyBorder="1" applyAlignment="1" applyProtection="1">
      <alignment/>
      <protection hidden="1" locked="0"/>
    </xf>
    <xf numFmtId="0" fontId="46" fillId="41" borderId="0" xfId="0" applyFont="1" applyFill="1" applyBorder="1" applyAlignment="1" applyProtection="1">
      <alignment/>
      <protection hidden="1"/>
    </xf>
    <xf numFmtId="0" fontId="46" fillId="41" borderId="0" xfId="0" applyFont="1" applyFill="1" applyBorder="1" applyAlignment="1" applyProtection="1">
      <alignment horizontal="center"/>
      <protection locked="0"/>
    </xf>
    <xf numFmtId="0" fontId="58" fillId="41" borderId="0" xfId="0" applyFont="1" applyFill="1" applyBorder="1" applyAlignment="1" applyProtection="1">
      <alignment horizontal="center" vertical="center" wrapText="1"/>
      <protection locked="0"/>
    </xf>
    <xf numFmtId="0" fontId="58" fillId="41" borderId="0" xfId="0" applyFont="1" applyFill="1" applyBorder="1" applyAlignment="1" applyProtection="1" quotePrefix="1">
      <alignment horizontal="center" vertical="center" wrapText="1"/>
      <protection locked="0"/>
    </xf>
    <xf numFmtId="0" fontId="58" fillId="41" borderId="0" xfId="0" applyFont="1" applyFill="1" applyBorder="1" applyAlignment="1" applyProtection="1" quotePrefix="1">
      <alignment horizontal="center" vertical="top" wrapText="1"/>
      <protection locked="0"/>
    </xf>
    <xf numFmtId="0" fontId="58" fillId="41" borderId="0" xfId="0" applyFont="1" applyFill="1" applyBorder="1" applyAlignment="1" applyProtection="1">
      <alignment horizontal="center" vertical="top" wrapText="1"/>
      <protection hidden="1"/>
    </xf>
    <xf numFmtId="0" fontId="46" fillId="41" borderId="0" xfId="78" applyFont="1" applyFill="1" applyBorder="1" applyAlignment="1" applyProtection="1" quotePrefix="1">
      <alignment horizontal="center" vertical="center" wrapText="1"/>
      <protection locked="0"/>
    </xf>
    <xf numFmtId="0" fontId="46" fillId="41" borderId="0" xfId="78" applyNumberFormat="1" applyFont="1" applyFill="1" applyBorder="1" applyAlignment="1" applyProtection="1">
      <alignment horizontal="left" vertical="top" wrapText="1"/>
      <protection locked="0"/>
    </xf>
    <xf numFmtId="171" fontId="46" fillId="41" borderId="0" xfId="78" applyNumberFormat="1" applyFont="1" applyFill="1" applyBorder="1" applyAlignment="1" applyProtection="1" quotePrefix="1">
      <alignment horizontal="center" vertical="top" wrapText="1"/>
      <protection locked="0"/>
    </xf>
    <xf numFmtId="169" fontId="46" fillId="41" borderId="0" xfId="78" applyNumberFormat="1" applyFont="1" applyFill="1" applyBorder="1" applyAlignment="1" applyProtection="1">
      <alignment horizontal="left" vertical="top" wrapText="1"/>
      <protection locked="0"/>
    </xf>
    <xf numFmtId="169" fontId="46" fillId="41" borderId="0" xfId="0" applyNumberFormat="1" applyFont="1" applyFill="1" applyBorder="1" applyAlignment="1" applyProtection="1">
      <alignment vertical="top" wrapText="1"/>
      <protection hidden="1"/>
    </xf>
    <xf numFmtId="169" fontId="46" fillId="41" borderId="0" xfId="78" applyNumberFormat="1" applyFont="1" applyFill="1" applyBorder="1" applyAlignment="1" applyProtection="1" quotePrefix="1">
      <alignment horizontal="left" vertical="top" wrapText="1"/>
      <protection locked="0"/>
    </xf>
    <xf numFmtId="0" fontId="46" fillId="41" borderId="0" xfId="0" applyNumberFormat="1" applyFont="1" applyFill="1" applyBorder="1" applyAlignment="1" applyProtection="1">
      <alignment horizontal="center" vertical="top" wrapText="1"/>
      <protection locked="0"/>
    </xf>
    <xf numFmtId="171" fontId="46" fillId="41" borderId="0" xfId="0" applyNumberFormat="1" applyFont="1" applyFill="1" applyBorder="1" applyAlignment="1" applyProtection="1" quotePrefix="1">
      <alignment horizontal="center" vertical="top" wrapText="1"/>
      <protection locked="0"/>
    </xf>
    <xf numFmtId="0" fontId="46" fillId="41" borderId="0" xfId="0" applyFont="1" applyFill="1" applyBorder="1" applyAlignment="1" applyProtection="1">
      <alignment/>
      <protection locked="0"/>
    </xf>
    <xf numFmtId="0" fontId="58" fillId="41" borderId="0" xfId="0" applyFont="1" applyFill="1" applyBorder="1" applyAlignment="1" applyProtection="1">
      <alignment horizontal="center" vertical="top" wrapText="1"/>
      <protection locked="0"/>
    </xf>
    <xf numFmtId="169" fontId="46" fillId="41" borderId="0" xfId="0" applyNumberFormat="1" applyFont="1" applyFill="1" applyBorder="1" applyAlignment="1" applyProtection="1">
      <alignment horizontal="left" vertical="top" wrapText="1"/>
      <protection locked="0"/>
    </xf>
    <xf numFmtId="0" fontId="46" fillId="41" borderId="0" xfId="0" applyNumberFormat="1" applyFont="1" applyFill="1" applyBorder="1" applyAlignment="1" applyProtection="1">
      <alignment horizontal="center" vertical="top" wrapText="1"/>
      <protection hidden="1"/>
    </xf>
    <xf numFmtId="169" fontId="46" fillId="41" borderId="0" xfId="0" applyNumberFormat="1" applyFont="1" applyFill="1" applyBorder="1" applyAlignment="1" applyProtection="1">
      <alignment horizontal="left" vertical="top" wrapText="1"/>
      <protection hidden="1"/>
    </xf>
    <xf numFmtId="178" fontId="46" fillId="41" borderId="0" xfId="0" applyNumberFormat="1" applyFont="1" applyFill="1" applyBorder="1" applyAlignment="1" applyProtection="1" quotePrefix="1">
      <alignment horizontal="center" vertical="top" wrapText="1"/>
      <protection hidden="1"/>
    </xf>
    <xf numFmtId="171" fontId="46" fillId="41" borderId="0" xfId="78" applyNumberFormat="1" applyFont="1" applyFill="1" applyBorder="1" applyAlignment="1" applyProtection="1">
      <alignment horizontal="center" vertical="top" wrapText="1"/>
      <protection locked="0"/>
    </xf>
    <xf numFmtId="0" fontId="58" fillId="41" borderId="0" xfId="0" applyFont="1" applyFill="1" applyAlignment="1" applyProtection="1">
      <alignment/>
      <protection hidden="1"/>
    </xf>
    <xf numFmtId="0" fontId="46" fillId="41" borderId="0" xfId="0" applyFont="1" applyFill="1" applyBorder="1" applyAlignment="1" applyProtection="1">
      <alignment horizontal="center" vertical="center" wrapText="1"/>
      <protection locked="0"/>
    </xf>
    <xf numFmtId="0" fontId="3" fillId="42" borderId="0" xfId="0" applyFont="1" applyFill="1" applyBorder="1" applyAlignment="1">
      <alignment horizontal="left"/>
    </xf>
    <xf numFmtId="0" fontId="3" fillId="42" borderId="27" xfId="0" applyFont="1" applyFill="1" applyBorder="1" applyAlignment="1">
      <alignment horizontal="left"/>
    </xf>
    <xf numFmtId="0" fontId="41" fillId="42" borderId="27" xfId="0" applyFont="1" applyFill="1" applyBorder="1" applyAlignment="1">
      <alignment horizontal="left"/>
    </xf>
    <xf numFmtId="169" fontId="3" fillId="42" borderId="45" xfId="0" applyNumberFormat="1" applyFont="1" applyFill="1" applyBorder="1" applyAlignment="1">
      <alignment horizontal="center"/>
    </xf>
    <xf numFmtId="169" fontId="3" fillId="42" borderId="26" xfId="0" applyNumberFormat="1" applyFont="1" applyFill="1" applyBorder="1" applyAlignment="1">
      <alignment horizontal="center"/>
    </xf>
    <xf numFmtId="169" fontId="3" fillId="42" borderId="46" xfId="0" applyNumberFormat="1" applyFont="1" applyFill="1" applyBorder="1" applyAlignment="1">
      <alignment horizontal="center"/>
    </xf>
    <xf numFmtId="0" fontId="3" fillId="43" borderId="27" xfId="0" applyFont="1" applyFill="1" applyBorder="1" applyAlignment="1">
      <alignment horizontal="center"/>
    </xf>
    <xf numFmtId="0" fontId="45" fillId="41" borderId="0" xfId="0" applyFont="1" applyFill="1" applyAlignment="1">
      <alignment horizontal="center" vertical="center"/>
    </xf>
    <xf numFmtId="0" fontId="4" fillId="42" borderId="0" xfId="0" applyFont="1" applyFill="1" applyAlignment="1">
      <alignment horizontal="center" vertical="top" wrapText="1"/>
    </xf>
    <xf numFmtId="0" fontId="4" fillId="42" borderId="0" xfId="0" applyFont="1" applyFill="1" applyBorder="1" applyAlignment="1">
      <alignment horizontal="center"/>
    </xf>
    <xf numFmtId="0" fontId="37" fillId="10" borderId="47" xfId="0" applyFont="1" applyFill="1" applyBorder="1" applyAlignment="1" applyProtection="1">
      <alignment horizontal="center" vertical="center" wrapText="1"/>
      <protection hidden="1"/>
    </xf>
    <xf numFmtId="0" fontId="37" fillId="10" borderId="48" xfId="0" applyFont="1" applyFill="1" applyBorder="1" applyAlignment="1" applyProtection="1">
      <alignment horizontal="center" vertical="center" wrapText="1"/>
      <protection hidden="1"/>
    </xf>
    <xf numFmtId="0" fontId="37" fillId="10" borderId="17" xfId="0" applyFont="1" applyFill="1" applyBorder="1" applyAlignment="1" applyProtection="1">
      <alignment horizontal="center" vertical="center" wrapText="1"/>
      <protection hidden="1"/>
    </xf>
    <xf numFmtId="0" fontId="38" fillId="42" borderId="33" xfId="0" applyFont="1" applyFill="1" applyBorder="1" applyAlignment="1" applyProtection="1">
      <alignment wrapText="1"/>
      <protection hidden="1"/>
    </xf>
    <xf numFmtId="0" fontId="36" fillId="42" borderId="1" xfId="0" applyFont="1" applyFill="1" applyBorder="1" applyAlignment="1" applyProtection="1">
      <alignment horizontal="left"/>
      <protection hidden="1"/>
    </xf>
    <xf numFmtId="0" fontId="37" fillId="42" borderId="0" xfId="0" applyFont="1" applyFill="1" applyBorder="1" applyAlignment="1" applyProtection="1">
      <alignment horizontal="left"/>
      <protection hidden="1"/>
    </xf>
    <xf numFmtId="14" fontId="37" fillId="42" borderId="0" xfId="0" applyNumberFormat="1" applyFont="1" applyFill="1" applyBorder="1" applyAlignment="1" applyProtection="1">
      <alignment horizontal="center"/>
      <protection hidden="1"/>
    </xf>
    <xf numFmtId="0" fontId="38" fillId="42" borderId="0" xfId="0" applyFont="1" applyFill="1" applyBorder="1" applyAlignment="1" applyProtection="1" quotePrefix="1">
      <alignment horizontal="left"/>
      <protection hidden="1"/>
    </xf>
    <xf numFmtId="0" fontId="37" fillId="43" borderId="26" xfId="0" applyFont="1" applyFill="1" applyBorder="1" applyAlignment="1" applyProtection="1">
      <alignment horizontal="center"/>
      <protection hidden="1"/>
    </xf>
    <xf numFmtId="174" fontId="37" fillId="42" borderId="40" xfId="96" applyNumberFormat="1" applyFont="1" applyFill="1" applyBorder="1" applyAlignment="1" applyProtection="1">
      <alignment horizontal="left"/>
      <protection hidden="1" locked="0"/>
    </xf>
    <xf numFmtId="174" fontId="37" fillId="42" borderId="49" xfId="96" applyNumberFormat="1" applyFont="1" applyFill="1" applyBorder="1" applyAlignment="1" applyProtection="1">
      <alignment horizontal="left"/>
      <protection hidden="1" locked="0"/>
    </xf>
    <xf numFmtId="174" fontId="37" fillId="42" borderId="32" xfId="96" applyNumberFormat="1" applyFont="1" applyFill="1" applyBorder="1" applyAlignment="1" applyProtection="1">
      <alignment horizontal="left"/>
      <protection hidden="1" locked="0"/>
    </xf>
    <xf numFmtId="174" fontId="37" fillId="42" borderId="41" xfId="96" applyNumberFormat="1" applyFont="1" applyFill="1" applyBorder="1" applyAlignment="1" applyProtection="1">
      <alignment horizontal="left"/>
      <protection hidden="1" locked="0"/>
    </xf>
    <xf numFmtId="174" fontId="37" fillId="42" borderId="26" xfId="96" applyNumberFormat="1" applyFont="1" applyFill="1" applyBorder="1" applyAlignment="1" applyProtection="1">
      <alignment horizontal="left"/>
      <protection hidden="1" locked="0"/>
    </xf>
    <xf numFmtId="174" fontId="37" fillId="42" borderId="36" xfId="96" applyNumberFormat="1" applyFont="1" applyFill="1" applyBorder="1" applyAlignment="1" applyProtection="1">
      <alignment horizontal="left"/>
      <protection hidden="1" locked="0"/>
    </xf>
    <xf numFmtId="0" fontId="35" fillId="42" borderId="13" xfId="0" applyFont="1" applyFill="1" applyBorder="1" applyAlignment="1" applyProtection="1">
      <alignment horizontal="left" wrapText="1"/>
      <protection hidden="1"/>
    </xf>
    <xf numFmtId="0" fontId="35" fillId="42" borderId="13" xfId="0" applyFont="1" applyFill="1" applyBorder="1" applyAlignment="1" applyProtection="1" quotePrefix="1">
      <alignment horizontal="left" wrapText="1"/>
      <protection hidden="1"/>
    </xf>
    <xf numFmtId="169" fontId="37" fillId="10" borderId="27" xfId="0" applyNumberFormat="1" applyFont="1" applyFill="1" applyBorder="1" applyAlignment="1" applyProtection="1">
      <alignment horizontal="left"/>
      <protection hidden="1"/>
    </xf>
    <xf numFmtId="0" fontId="45" fillId="41" borderId="0" xfId="0" applyFont="1" applyFill="1" applyAlignment="1" applyProtection="1">
      <alignment horizontal="left" vertical="center"/>
      <protection hidden="1"/>
    </xf>
    <xf numFmtId="0" fontId="50" fillId="42" borderId="0" xfId="0" applyFont="1" applyFill="1" applyBorder="1" applyAlignment="1" applyProtection="1">
      <alignment horizontal="center" vertical="center"/>
      <protection hidden="1"/>
    </xf>
    <xf numFmtId="0" fontId="36" fillId="42" borderId="47" xfId="0" applyFont="1" applyFill="1" applyBorder="1" applyAlignment="1" applyProtection="1">
      <alignment horizontal="center" wrapText="1"/>
      <protection hidden="1"/>
    </xf>
    <xf numFmtId="0" fontId="36" fillId="42" borderId="48" xfId="0" applyFont="1" applyFill="1" applyBorder="1" applyAlignment="1" applyProtection="1" quotePrefix="1">
      <alignment horizontal="center" wrapText="1"/>
      <protection hidden="1"/>
    </xf>
    <xf numFmtId="0" fontId="36" fillId="42" borderId="17" xfId="0" applyFont="1" applyFill="1" applyBorder="1" applyAlignment="1" applyProtection="1" quotePrefix="1">
      <alignment horizontal="center" wrapText="1"/>
      <protection hidden="1"/>
    </xf>
    <xf numFmtId="0" fontId="37" fillId="10" borderId="27" xfId="0" applyFont="1" applyFill="1" applyBorder="1" applyAlignment="1" applyProtection="1">
      <alignment horizontal="left"/>
      <protection hidden="1"/>
    </xf>
    <xf numFmtId="0" fontId="3" fillId="43" borderId="0" xfId="0" applyFont="1" applyFill="1" applyBorder="1" applyAlignment="1" applyProtection="1">
      <alignment horizontal="left"/>
      <protection hidden="1"/>
    </xf>
    <xf numFmtId="0" fontId="3" fillId="10" borderId="28" xfId="0" applyFont="1" applyFill="1" applyBorder="1" applyAlignment="1" applyProtection="1">
      <alignment horizontal="center" vertical="center" wrapText="1"/>
      <protection hidden="1"/>
    </xf>
    <xf numFmtId="0" fontId="3" fillId="10" borderId="29" xfId="0" applyFont="1" applyFill="1" applyBorder="1" applyAlignment="1" applyProtection="1">
      <alignment horizontal="center" vertical="center" wrapText="1"/>
      <protection hidden="1"/>
    </xf>
    <xf numFmtId="0" fontId="3" fillId="10" borderId="50" xfId="0" applyFont="1" applyFill="1" applyBorder="1" applyAlignment="1" applyProtection="1">
      <alignment horizontal="center" vertical="center" wrapText="1"/>
      <protection hidden="1"/>
    </xf>
    <xf numFmtId="0" fontId="3" fillId="10" borderId="20" xfId="0" applyFont="1" applyFill="1" applyBorder="1" applyAlignment="1" applyProtection="1">
      <alignment horizontal="center" vertical="center" wrapText="1"/>
      <protection hidden="1"/>
    </xf>
    <xf numFmtId="0" fontId="37" fillId="10" borderId="39" xfId="0" applyFont="1" applyFill="1" applyBorder="1" applyAlignment="1" applyProtection="1">
      <alignment horizontal="center" vertical="center" wrapText="1"/>
      <protection hidden="1"/>
    </xf>
    <xf numFmtId="0" fontId="37" fillId="10" borderId="30" xfId="0" applyFont="1" applyFill="1" applyBorder="1" applyAlignment="1" applyProtection="1">
      <alignment horizontal="center" vertical="center" wrapText="1"/>
      <protection hidden="1"/>
    </xf>
    <xf numFmtId="0" fontId="37" fillId="10" borderId="43" xfId="0" applyFont="1" applyFill="1" applyBorder="1" applyAlignment="1" applyProtection="1">
      <alignment horizontal="center" vertical="center" wrapText="1"/>
      <protection hidden="1"/>
    </xf>
    <xf numFmtId="174" fontId="37" fillId="42" borderId="42" xfId="96" applyNumberFormat="1" applyFont="1" applyFill="1" applyBorder="1" applyAlignment="1" applyProtection="1">
      <alignment horizontal="left"/>
      <protection hidden="1" locked="0"/>
    </xf>
    <xf numFmtId="174" fontId="37" fillId="42" borderId="51" xfId="96" applyNumberFormat="1" applyFont="1" applyFill="1" applyBorder="1" applyAlignment="1" applyProtection="1">
      <alignment horizontal="left"/>
      <protection hidden="1" locked="0"/>
    </xf>
    <xf numFmtId="174" fontId="37" fillId="42" borderId="38" xfId="96" applyNumberFormat="1" applyFont="1" applyFill="1" applyBorder="1" applyAlignment="1" applyProtection="1">
      <alignment horizontal="left"/>
      <protection hidden="1" locked="0"/>
    </xf>
    <xf numFmtId="0" fontId="40" fillId="42" borderId="0" xfId="0" applyFont="1" applyFill="1" applyBorder="1" applyAlignment="1">
      <alignment horizontal="center" vertical="top" wrapText="1"/>
    </xf>
    <xf numFmtId="0" fontId="36" fillId="42" borderId="47" xfId="0" applyFont="1" applyFill="1" applyBorder="1" applyAlignment="1" applyProtection="1">
      <alignment horizontal="right"/>
      <protection hidden="1"/>
    </xf>
    <xf numFmtId="0" fontId="36" fillId="42" borderId="48" xfId="0" applyFont="1" applyFill="1" applyBorder="1" applyAlignment="1" applyProtection="1">
      <alignment horizontal="right"/>
      <protection hidden="1"/>
    </xf>
    <xf numFmtId="0" fontId="36" fillId="42" borderId="17" xfId="0" applyFont="1" applyFill="1" applyBorder="1" applyAlignment="1" applyProtection="1">
      <alignment horizontal="right"/>
      <protection hidden="1"/>
    </xf>
    <xf numFmtId="0" fontId="36" fillId="42" borderId="30" xfId="0" applyFont="1" applyFill="1" applyBorder="1" applyAlignment="1" applyProtection="1">
      <alignment horizontal="left"/>
      <protection hidden="1"/>
    </xf>
    <xf numFmtId="0" fontId="36" fillId="42" borderId="50" xfId="0" applyFont="1" applyFill="1" applyBorder="1" applyAlignment="1" applyProtection="1">
      <alignment horizontal="left"/>
      <protection hidden="1"/>
    </xf>
    <xf numFmtId="9" fontId="37" fillId="42" borderId="35" xfId="0" applyNumberFormat="1" applyFont="1" applyFill="1" applyBorder="1" applyAlignment="1" applyProtection="1">
      <alignment horizontal="center" shrinkToFit="1"/>
      <protection hidden="1"/>
    </xf>
    <xf numFmtId="0" fontId="36" fillId="42" borderId="52" xfId="0" applyFont="1" applyFill="1" applyBorder="1" applyAlignment="1" applyProtection="1">
      <alignment/>
      <protection hidden="1"/>
    </xf>
    <xf numFmtId="0" fontId="36" fillId="42" borderId="0" xfId="0" applyFont="1" applyFill="1" applyBorder="1" applyAlignment="1" applyProtection="1">
      <alignment/>
      <protection hidden="1"/>
    </xf>
    <xf numFmtId="0" fontId="3" fillId="42" borderId="27" xfId="0" applyFont="1" applyFill="1" applyBorder="1" applyAlignment="1">
      <alignment horizontal="left" wrapText="1"/>
    </xf>
    <xf numFmtId="0" fontId="3" fillId="42" borderId="27" xfId="0" applyFont="1" applyFill="1" applyBorder="1" applyAlignment="1">
      <alignment horizontal="center"/>
    </xf>
    <xf numFmtId="0" fontId="3" fillId="10" borderId="1" xfId="0" applyFont="1" applyFill="1" applyBorder="1" applyAlignment="1" applyProtection="1">
      <alignment horizontal="center" vertical="center" wrapText="1"/>
      <protection hidden="1"/>
    </xf>
    <xf numFmtId="0" fontId="3" fillId="10" borderId="1" xfId="0" applyFont="1" applyFill="1" applyBorder="1" applyAlignment="1" applyProtection="1" quotePrefix="1">
      <alignment horizontal="center" vertical="center" wrapText="1"/>
      <protection hidden="1"/>
    </xf>
    <xf numFmtId="9" fontId="37" fillId="42" borderId="31" xfId="0" applyNumberFormat="1" applyFont="1" applyFill="1" applyBorder="1" applyAlignment="1" applyProtection="1">
      <alignment horizontal="center" shrinkToFit="1"/>
      <protection hidden="1"/>
    </xf>
    <xf numFmtId="0" fontId="46" fillId="41" borderId="0" xfId="0" applyFont="1" applyFill="1" applyBorder="1" applyAlignment="1" applyProtection="1">
      <alignment horizontal="center" vertical="center" wrapText="1"/>
      <protection hidden="1"/>
    </xf>
    <xf numFmtId="0" fontId="46" fillId="41" borderId="0" xfId="0" applyFont="1" applyFill="1" applyBorder="1" applyAlignment="1" applyProtection="1" quotePrefix="1">
      <alignment horizontal="center" vertical="center" wrapText="1"/>
      <protection hidden="1"/>
    </xf>
    <xf numFmtId="0" fontId="46" fillId="41" borderId="0" xfId="0" applyFont="1" applyFill="1" applyBorder="1" applyAlignment="1" applyProtection="1">
      <alignment horizontal="center"/>
      <protection hidden="1"/>
    </xf>
    <xf numFmtId="0" fontId="58" fillId="41" borderId="0" xfId="0" applyFont="1" applyFill="1" applyBorder="1" applyAlignment="1" applyProtection="1">
      <alignment horizontal="center"/>
      <protection hidden="1"/>
    </xf>
    <xf numFmtId="0" fontId="37" fillId="42" borderId="27" xfId="0" applyFont="1" applyFill="1" applyBorder="1" applyAlignment="1" applyProtection="1">
      <alignment horizontal="center"/>
      <protection hidden="1"/>
    </xf>
    <xf numFmtId="0" fontId="58" fillId="41" borderId="0" xfId="0" applyFont="1" applyFill="1" applyBorder="1" applyAlignment="1" applyProtection="1" quotePrefix="1">
      <alignment horizontal="center" vertical="center" wrapText="1"/>
      <protection hidden="1"/>
    </xf>
    <xf numFmtId="0" fontId="39" fillId="42" borderId="0" xfId="0" applyFont="1" applyFill="1" applyBorder="1" applyAlignment="1" applyProtection="1">
      <alignment horizontal="center" vertical="top"/>
      <protection hidden="1"/>
    </xf>
    <xf numFmtId="0" fontId="37" fillId="42" borderId="27" xfId="0" applyFont="1" applyFill="1" applyBorder="1" applyAlignment="1" applyProtection="1">
      <alignment horizontal="center"/>
      <protection hidden="1" locked="0"/>
    </xf>
    <xf numFmtId="9" fontId="3" fillId="42" borderId="35" xfId="0" applyNumberFormat="1" applyFont="1" applyFill="1" applyBorder="1" applyAlignment="1" applyProtection="1">
      <alignment horizontal="center"/>
      <protection hidden="1"/>
    </xf>
    <xf numFmtId="9" fontId="37" fillId="42" borderId="37" xfId="0" applyNumberFormat="1" applyFont="1" applyFill="1" applyBorder="1" applyAlignment="1" applyProtection="1">
      <alignment horizontal="center" shrinkToFit="1"/>
      <protection hidden="1"/>
    </xf>
    <xf numFmtId="169" fontId="36" fillId="42" borderId="1" xfId="0" applyNumberFormat="1" applyFont="1" applyFill="1" applyBorder="1" applyAlignment="1" applyProtection="1">
      <alignment horizontal="center" shrinkToFit="1"/>
      <protection hidden="1"/>
    </xf>
    <xf numFmtId="0" fontId="36" fillId="42" borderId="0" xfId="0" applyFont="1" applyFill="1" applyBorder="1" applyAlignment="1" applyProtection="1" quotePrefix="1">
      <alignment horizontal="center" vertical="center"/>
      <protection hidden="1"/>
    </xf>
    <xf numFmtId="0" fontId="4" fillId="42" borderId="0" xfId="0" applyFont="1" applyFill="1" applyBorder="1" applyAlignment="1" applyProtection="1">
      <alignment horizontal="right"/>
      <protection hidden="1"/>
    </xf>
    <xf numFmtId="0" fontId="4" fillId="42" borderId="34" xfId="0" applyFont="1" applyFill="1" applyBorder="1" applyAlignment="1" applyProtection="1">
      <alignment horizontal="right"/>
      <protection hidden="1"/>
    </xf>
    <xf numFmtId="0" fontId="36" fillId="42" borderId="52" xfId="0" applyFont="1" applyFill="1" applyBorder="1" applyAlignment="1" applyProtection="1">
      <alignment horizontal="right"/>
      <protection hidden="1"/>
    </xf>
    <xf numFmtId="0" fontId="36" fillId="42" borderId="29" xfId="0" applyFont="1" applyFill="1" applyBorder="1" applyAlignment="1" applyProtection="1">
      <alignment horizontal="right"/>
      <protection hidden="1"/>
    </xf>
    <xf numFmtId="0" fontId="36" fillId="42" borderId="0" xfId="0" applyFont="1" applyFill="1" applyBorder="1" applyAlignment="1" applyProtection="1">
      <alignment horizontal="center"/>
      <protection hidden="1"/>
    </xf>
    <xf numFmtId="0" fontId="41" fillId="42" borderId="27" xfId="0" applyFont="1" applyFill="1" applyBorder="1" applyAlignment="1" applyProtection="1">
      <alignment horizontal="left"/>
      <protection hidden="1"/>
    </xf>
    <xf numFmtId="0" fontId="41" fillId="42" borderId="0" xfId="0" applyFont="1" applyFill="1" applyBorder="1" applyAlignment="1" applyProtection="1">
      <alignment wrapText="1"/>
      <protection hidden="1"/>
    </xf>
    <xf numFmtId="0" fontId="41" fillId="42" borderId="0" xfId="0" applyFont="1" applyFill="1" applyBorder="1" applyAlignment="1" applyProtection="1">
      <alignment horizontal="left"/>
      <protection hidden="1"/>
    </xf>
    <xf numFmtId="0" fontId="37" fillId="42" borderId="0" xfId="0" applyFont="1" applyFill="1" applyBorder="1" applyAlignment="1" applyProtection="1">
      <alignment/>
      <protection hidden="1"/>
    </xf>
    <xf numFmtId="0" fontId="37" fillId="42" borderId="0" xfId="0" applyFont="1" applyFill="1" applyBorder="1" applyAlignment="1" applyProtection="1" quotePrefix="1">
      <alignment horizontal="left"/>
      <protection hidden="1"/>
    </xf>
    <xf numFmtId="0" fontId="3" fillId="10" borderId="29" xfId="0" applyFont="1" applyFill="1" applyBorder="1" applyAlignment="1" applyProtection="1" quotePrefix="1">
      <alignment horizontal="center" vertical="center" wrapText="1"/>
      <protection hidden="1"/>
    </xf>
    <xf numFmtId="0" fontId="3" fillId="10" borderId="47" xfId="0" applyFont="1" applyFill="1" applyBorder="1" applyAlignment="1" applyProtection="1">
      <alignment horizontal="center" vertical="center" wrapText="1"/>
      <protection hidden="1"/>
    </xf>
    <xf numFmtId="0" fontId="3" fillId="10" borderId="17" xfId="0" applyFont="1" applyFill="1" applyBorder="1" applyAlignment="1" applyProtection="1" quotePrefix="1">
      <alignment horizontal="center" vertical="center" wrapText="1"/>
      <protection hidden="1"/>
    </xf>
    <xf numFmtId="0" fontId="36" fillId="42" borderId="0" xfId="0" applyFont="1" applyFill="1" applyBorder="1" applyAlignment="1" applyProtection="1">
      <alignment horizontal="center" vertical="center"/>
      <protection hidden="1"/>
    </xf>
    <xf numFmtId="171" fontId="42" fillId="42" borderId="40" xfId="96" applyNumberFormat="1" applyFont="1" applyFill="1" applyBorder="1" applyAlignment="1" applyProtection="1">
      <alignment horizontal="center"/>
      <protection hidden="1"/>
    </xf>
    <xf numFmtId="171" fontId="42" fillId="42" borderId="32" xfId="96" applyNumberFormat="1" applyFont="1" applyFill="1" applyBorder="1" applyAlignment="1" applyProtection="1">
      <alignment horizontal="center"/>
      <protection hidden="1"/>
    </xf>
    <xf numFmtId="171" fontId="42" fillId="42" borderId="39" xfId="96" applyNumberFormat="1" applyFont="1" applyFill="1" applyBorder="1" applyAlignment="1" applyProtection="1">
      <alignment horizontal="center" vertical="center"/>
      <protection hidden="1"/>
    </xf>
    <xf numFmtId="171" fontId="42" fillId="42" borderId="43" xfId="96" applyNumberFormat="1" applyFont="1" applyFill="1" applyBorder="1" applyAlignment="1" applyProtection="1">
      <alignment horizontal="center" vertical="center"/>
      <protection hidden="1"/>
    </xf>
    <xf numFmtId="171" fontId="42" fillId="42" borderId="41" xfId="96" applyNumberFormat="1" applyFont="1" applyFill="1" applyBorder="1" applyAlignment="1" applyProtection="1">
      <alignment horizontal="center"/>
      <protection hidden="1"/>
    </xf>
    <xf numFmtId="171" fontId="42" fillId="42" borderId="36" xfId="96" applyNumberFormat="1" applyFont="1" applyFill="1" applyBorder="1" applyAlignment="1" applyProtection="1">
      <alignment horizontal="center"/>
      <protection hidden="1"/>
    </xf>
    <xf numFmtId="171" fontId="42" fillId="42" borderId="42" xfId="96" applyNumberFormat="1" applyFont="1" applyFill="1" applyBorder="1" applyAlignment="1" applyProtection="1">
      <alignment horizontal="center"/>
      <protection hidden="1"/>
    </xf>
    <xf numFmtId="171" fontId="42" fillId="42" borderId="38" xfId="96" applyNumberFormat="1" applyFont="1" applyFill="1" applyBorder="1" applyAlignment="1" applyProtection="1">
      <alignment horizontal="center"/>
      <protection hidden="1"/>
    </xf>
    <xf numFmtId="0" fontId="37" fillId="10" borderId="28" xfId="0" applyFont="1" applyFill="1" applyBorder="1" applyAlignment="1" applyProtection="1">
      <alignment horizontal="center" vertical="center" wrapText="1"/>
      <protection hidden="1"/>
    </xf>
    <xf numFmtId="0" fontId="37" fillId="10" borderId="29" xfId="0" applyFont="1" applyFill="1" applyBorder="1" applyAlignment="1" applyProtection="1" quotePrefix="1">
      <alignment horizontal="center" vertical="center" wrapText="1"/>
      <protection hidden="1"/>
    </xf>
    <xf numFmtId="0" fontId="37" fillId="10" borderId="33" xfId="0" applyFont="1" applyFill="1" applyBorder="1" applyAlignment="1" applyProtection="1" quotePrefix="1">
      <alignment horizontal="center" vertical="center" wrapText="1"/>
      <protection hidden="1"/>
    </xf>
    <xf numFmtId="0" fontId="37" fillId="10" borderId="34" xfId="0" applyFont="1" applyFill="1" applyBorder="1" applyAlignment="1" applyProtection="1" quotePrefix="1">
      <alignment horizontal="center" vertical="center" wrapText="1"/>
      <protection hidden="1"/>
    </xf>
    <xf numFmtId="0" fontId="37" fillId="10" borderId="50" xfId="0" applyFont="1" applyFill="1" applyBorder="1" applyAlignment="1" applyProtection="1" quotePrefix="1">
      <alignment horizontal="center" vertical="center" wrapText="1"/>
      <protection hidden="1"/>
    </xf>
    <xf numFmtId="0" fontId="37" fillId="10" borderId="20" xfId="0" applyFont="1" applyFill="1" applyBorder="1" applyAlignment="1" applyProtection="1" quotePrefix="1">
      <alignment horizontal="center" vertical="center" wrapText="1"/>
      <protection hidden="1"/>
    </xf>
    <xf numFmtId="0" fontId="37" fillId="10" borderId="39" xfId="0" applyFont="1" applyFill="1" applyBorder="1" applyAlignment="1" applyProtection="1" quotePrefix="1">
      <alignment horizontal="center" vertical="center" wrapText="1"/>
      <protection hidden="1"/>
    </xf>
    <xf numFmtId="0" fontId="4" fillId="42" borderId="47" xfId="0" applyFont="1" applyFill="1" applyBorder="1" applyAlignment="1" applyProtection="1">
      <alignment horizontal="left"/>
      <protection hidden="1"/>
    </xf>
    <xf numFmtId="0" fontId="4" fillId="42" borderId="17" xfId="0" applyFont="1" applyFill="1" applyBorder="1" applyAlignment="1" applyProtection="1">
      <alignment horizontal="left"/>
      <protection hidden="1"/>
    </xf>
    <xf numFmtId="171" fontId="41" fillId="42" borderId="47" xfId="96" applyNumberFormat="1" applyFont="1" applyFill="1" applyBorder="1" applyAlignment="1" applyProtection="1">
      <alignment/>
      <protection hidden="1"/>
    </xf>
    <xf numFmtId="171" fontId="41" fillId="42" borderId="17" xfId="96" applyNumberFormat="1" applyFont="1" applyFill="1" applyBorder="1" applyAlignment="1" applyProtection="1">
      <alignment/>
      <protection hidden="1"/>
    </xf>
    <xf numFmtId="0" fontId="37" fillId="10" borderId="1" xfId="0" applyFont="1" applyFill="1" applyBorder="1" applyAlignment="1" applyProtection="1" quotePrefix="1">
      <alignment horizontal="center" vertical="center" wrapText="1"/>
      <protection hidden="1"/>
    </xf>
    <xf numFmtId="0" fontId="3" fillId="10" borderId="27" xfId="0" applyNumberFormat="1" applyFont="1" applyFill="1" applyBorder="1" applyAlignment="1">
      <alignment horizontal="center"/>
    </xf>
    <xf numFmtId="0" fontId="3" fillId="10" borderId="27" xfId="0" applyNumberFormat="1" applyFont="1" applyFill="1" applyBorder="1" applyAlignment="1">
      <alignment horizontal="left" wrapText="1"/>
    </xf>
    <xf numFmtId="0" fontId="37" fillId="42" borderId="27" xfId="0" applyFont="1" applyFill="1" applyBorder="1" applyAlignment="1" applyProtection="1">
      <alignment horizontal="center" shrinkToFit="1"/>
      <protection hidden="1"/>
    </xf>
    <xf numFmtId="0" fontId="37" fillId="10" borderId="43" xfId="0" applyFont="1" applyFill="1" applyBorder="1" applyAlignment="1" applyProtection="1" quotePrefix="1">
      <alignment horizontal="center" vertical="center" wrapText="1"/>
      <protection hidden="1"/>
    </xf>
    <xf numFmtId="0" fontId="37" fillId="10" borderId="30" xfId="0" applyFont="1" applyFill="1" applyBorder="1" applyAlignment="1" applyProtection="1" quotePrefix="1">
      <alignment horizontal="center" vertical="center" wrapText="1"/>
      <protection hidden="1"/>
    </xf>
    <xf numFmtId="0" fontId="58" fillId="41" borderId="0" xfId="0" applyFont="1" applyFill="1" applyBorder="1" applyAlignment="1" applyProtection="1">
      <alignment horizontal="center" wrapText="1"/>
      <protection locked="0"/>
    </xf>
    <xf numFmtId="0" fontId="58" fillId="41" borderId="0" xfId="0" applyFont="1" applyFill="1" applyBorder="1" applyAlignment="1" applyProtection="1" quotePrefix="1">
      <alignment horizontal="center" wrapText="1"/>
      <protection locked="0"/>
    </xf>
    <xf numFmtId="0" fontId="46" fillId="41" borderId="0" xfId="0" applyFont="1" applyFill="1" applyBorder="1" applyAlignment="1" applyProtection="1">
      <alignment/>
      <protection locked="0"/>
    </xf>
    <xf numFmtId="14" fontId="52" fillId="41" borderId="0" xfId="82" applyNumberFormat="1" applyFont="1" applyFill="1" applyAlignment="1" applyProtection="1">
      <alignment horizontal="center"/>
      <protection hidden="1"/>
    </xf>
    <xf numFmtId="176" fontId="51" fillId="41" borderId="0" xfId="82" applyNumberFormat="1" applyFont="1" applyFill="1" applyBorder="1" applyAlignment="1" applyProtection="1">
      <alignment horizontal="left"/>
      <protection hidden="1"/>
    </xf>
    <xf numFmtId="0" fontId="57" fillId="41" borderId="0" xfId="62" applyNumberFormat="1" applyFont="1" applyFill="1" applyAlignment="1" applyProtection="1">
      <alignment/>
      <protection hidden="1"/>
    </xf>
  </cellXfs>
  <cellStyles count="85">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бзац" xfId="51"/>
    <cellStyle name="Акцент1" xfId="52"/>
    <cellStyle name="Акцент2" xfId="53"/>
    <cellStyle name="Акцент3" xfId="54"/>
    <cellStyle name="Акцент4" xfId="55"/>
    <cellStyle name="Акцент5" xfId="56"/>
    <cellStyle name="Акцент6" xfId="57"/>
    <cellStyle name="Блок" xfId="58"/>
    <cellStyle name="Ввод " xfId="59"/>
    <cellStyle name="Вывод" xfId="60"/>
    <cellStyle name="Вычисление" xfId="61"/>
    <cellStyle name="Hyperlink" xfId="62"/>
    <cellStyle name="Дата" xfId="63"/>
    <cellStyle name="Currency" xfId="64"/>
    <cellStyle name="Currency [0]" xfId="65"/>
    <cellStyle name="Заголовок 1" xfId="66"/>
    <cellStyle name="Заголовок 2" xfId="67"/>
    <cellStyle name="Заголовок 3" xfId="68"/>
    <cellStyle name="Заголовок 4" xfId="69"/>
    <cellStyle name="ЗаголовокБланка" xfId="70"/>
    <cellStyle name="ЗаголовокТаблицы" xfId="71"/>
    <cellStyle name="ЗвездочкаСноски" xfId="72"/>
    <cellStyle name="Итог" xfId="73"/>
    <cellStyle name="Контрольная ячейка" xfId="74"/>
    <cellStyle name="Название" xfId="75"/>
    <cellStyle name="Нейтральный" xfId="76"/>
    <cellStyle name="Обычный 2" xfId="77"/>
    <cellStyle name="Обычный_$123222_016K" xfId="78"/>
    <cellStyle name="Обычный_Бланк платежного поручения (сокращенного)" xfId="79"/>
    <cellStyle name="Обычный_исходные данные" xfId="80"/>
    <cellStyle name="Обычный_Лист2" xfId="81"/>
    <cellStyle name="Обычный_ПС 112 электронный денежный перевод11111" xfId="82"/>
    <cellStyle name="Followed Hyperlink" xfId="83"/>
    <cellStyle name="Плохой" xfId="84"/>
    <cellStyle name="Подпись" xfId="85"/>
    <cellStyle name="Подстрочный" xfId="86"/>
    <cellStyle name="ПоляЗаполнения" xfId="87"/>
    <cellStyle name="Пояснение" xfId="88"/>
    <cellStyle name="Приложение" xfId="89"/>
    <cellStyle name="Примечание" xfId="90"/>
    <cellStyle name="Percent" xfId="91"/>
    <cellStyle name="Связанная ячейка" xfId="92"/>
    <cellStyle name="Табличный" xfId="93"/>
    <cellStyle name="Текст предупреждения" xfId="94"/>
    <cellStyle name="ТекстСноски" xfId="95"/>
    <cellStyle name="Comma" xfId="96"/>
    <cellStyle name="Comma [0]" xfId="97"/>
    <cellStyle name="Хороший" xfId="98"/>
  </cellStyles>
  <dxfs count="7">
    <dxf>
      <font>
        <color indexed="9"/>
      </font>
      <border>
        <left/>
        <right/>
        <top/>
        <bottom/>
      </border>
    </dxf>
    <dxf>
      <font>
        <color indexed="9"/>
      </font>
    </dxf>
    <dxf>
      <fill>
        <patternFill patternType="solid">
          <bgColor indexed="9"/>
        </patternFill>
      </fill>
    </dxf>
    <dxf>
      <font>
        <color indexed="9"/>
      </font>
      <fill>
        <patternFill patternType="solid">
          <bgColor indexed="9"/>
        </patternFill>
      </fill>
      <border>
        <left/>
        <right/>
        <top/>
        <bottom/>
      </border>
    </dxf>
    <dxf>
      <font>
        <color rgb="FFFFFFFF"/>
      </font>
      <fill>
        <patternFill patternType="solid">
          <bgColor rgb="FFFFFFFF"/>
        </patternFill>
      </fill>
      <border>
        <left>
          <color rgb="FF000000"/>
        </left>
        <right>
          <color rgb="FF000000"/>
        </right>
        <top>
          <color rgb="FF000000"/>
        </top>
        <bottom>
          <color rgb="FF000000"/>
        </bottom>
      </border>
    </dxf>
    <dxf>
      <font>
        <color rgb="FFFFFFFF"/>
      </font>
      <border/>
    </dxf>
    <dxf>
      <font>
        <color rgb="FFFFFFFF"/>
      </font>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B2:L19"/>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00390625" defaultRowHeight="12" customHeight="1"/>
  <cols>
    <col min="1" max="2" width="2.75390625" style="156" customWidth="1"/>
    <col min="3" max="3" width="96.875" style="156" customWidth="1"/>
    <col min="4" max="23" width="2.75390625" style="156" customWidth="1"/>
    <col min="24" max="16384" width="9.125" style="156" customWidth="1"/>
  </cols>
  <sheetData>
    <row r="1" ht="12" customHeight="1" thickBot="1"/>
    <row r="2" spans="2:4" ht="12" customHeight="1">
      <c r="B2" s="157"/>
      <c r="C2" s="158"/>
      <c r="D2" s="159"/>
    </row>
    <row r="3" spans="2:4" ht="16.5" customHeight="1">
      <c r="B3" s="160"/>
      <c r="C3" s="167" t="s">
        <v>112</v>
      </c>
      <c r="D3" s="162"/>
    </row>
    <row r="4" spans="2:4" ht="12" customHeight="1">
      <c r="B4" s="160"/>
      <c r="C4" s="168"/>
      <c r="D4" s="162"/>
    </row>
    <row r="5" spans="2:4" ht="41.25" customHeight="1">
      <c r="B5" s="160"/>
      <c r="C5" s="166" t="s">
        <v>108</v>
      </c>
      <c r="D5" s="162"/>
    </row>
    <row r="6" spans="2:4" ht="42" customHeight="1">
      <c r="B6" s="160"/>
      <c r="C6" s="169" t="s">
        <v>109</v>
      </c>
      <c r="D6" s="162"/>
    </row>
    <row r="7" spans="2:4" ht="90" customHeight="1">
      <c r="B7" s="160"/>
      <c r="C7" s="166" t="s">
        <v>110</v>
      </c>
      <c r="D7" s="162"/>
    </row>
    <row r="8" spans="2:12" ht="17.25" customHeight="1">
      <c r="B8" s="160"/>
      <c r="C8" s="166" t="s">
        <v>73</v>
      </c>
      <c r="D8" s="162"/>
      <c r="L8" s="170"/>
    </row>
    <row r="9" spans="2:12" ht="38.25">
      <c r="B9" s="160"/>
      <c r="C9" s="166" t="s">
        <v>71</v>
      </c>
      <c r="D9" s="162"/>
      <c r="L9" s="170"/>
    </row>
    <row r="10" spans="2:12" ht="21.75" customHeight="1">
      <c r="B10" s="160"/>
      <c r="C10" s="166" t="s">
        <v>72</v>
      </c>
      <c r="D10" s="162"/>
      <c r="L10" s="170"/>
    </row>
    <row r="11" spans="2:12" ht="58.5" customHeight="1">
      <c r="B11" s="160"/>
      <c r="C11" s="166" t="s">
        <v>74</v>
      </c>
      <c r="D11" s="162"/>
      <c r="L11" s="170"/>
    </row>
    <row r="12" spans="2:12" ht="58.5" customHeight="1">
      <c r="B12" s="160"/>
      <c r="C12" s="166" t="s">
        <v>75</v>
      </c>
      <c r="D12" s="162"/>
      <c r="L12" s="170"/>
    </row>
    <row r="13" spans="2:4" ht="45.75" customHeight="1">
      <c r="B13" s="160"/>
      <c r="C13" s="166" t="s">
        <v>76</v>
      </c>
      <c r="D13" s="162"/>
    </row>
    <row r="14" spans="2:4" ht="38.25" customHeight="1">
      <c r="B14" s="160"/>
      <c r="C14" s="166" t="s">
        <v>111</v>
      </c>
      <c r="D14" s="162"/>
    </row>
    <row r="15" spans="2:4" ht="12" customHeight="1">
      <c r="B15" s="160"/>
      <c r="C15" s="161"/>
      <c r="D15" s="162"/>
    </row>
    <row r="16" spans="2:4" ht="12" customHeight="1">
      <c r="B16" s="160"/>
      <c r="C16" s="161"/>
      <c r="D16" s="162"/>
    </row>
    <row r="17" spans="2:4" ht="12" customHeight="1">
      <c r="B17" s="160"/>
      <c r="C17" s="161"/>
      <c r="D17" s="162"/>
    </row>
    <row r="18" spans="2:4" ht="12" customHeight="1">
      <c r="B18" s="160"/>
      <c r="C18" s="161"/>
      <c r="D18" s="162"/>
    </row>
    <row r="19" spans="2:4" ht="12" customHeight="1" thickBot="1">
      <c r="B19" s="163"/>
      <c r="C19" s="164"/>
      <c r="D19" s="165"/>
    </row>
  </sheetData>
  <sheetProtection/>
  <printOptions/>
  <pageMargins left="0.75" right="0.75" top="1" bottom="1" header="0.5" footer="0.5"/>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2.xml><?xml version="1.0" encoding="utf-8"?>
<worksheet xmlns="http://schemas.openxmlformats.org/spreadsheetml/2006/main" xmlns:r="http://schemas.openxmlformats.org/officeDocument/2006/relationships">
  <sheetPr>
    <tabColor indexed="43"/>
  </sheetPr>
  <dimension ref="B1:D252"/>
  <sheetViews>
    <sheetView zoomScalePageLayoutView="0" workbookViewId="0" topLeftCell="A1">
      <pane ySplit="1" topLeftCell="A2" activePane="bottomLeft" state="frozen"/>
      <selection pane="topLeft" activeCell="A1" sqref="A1"/>
      <selection pane="bottomLeft" activeCell="A1" sqref="A1"/>
    </sheetView>
  </sheetViews>
  <sheetFormatPr defaultColWidth="9.00390625" defaultRowHeight="12" customHeight="1"/>
  <cols>
    <col min="1" max="2" width="2.75390625" style="156" customWidth="1"/>
    <col min="3" max="3" width="102.25390625" style="156" customWidth="1"/>
    <col min="4" max="23" width="2.75390625" style="156" customWidth="1"/>
    <col min="24" max="16384" width="9.125" style="156" customWidth="1"/>
  </cols>
  <sheetData>
    <row r="1" ht="15" customHeight="1" thickBot="1">
      <c r="C1" s="181" t="s">
        <v>57</v>
      </c>
    </row>
    <row r="2" spans="2:4" ht="12" customHeight="1">
      <c r="B2" s="157"/>
      <c r="C2" s="158"/>
      <c r="D2" s="159"/>
    </row>
    <row r="3" spans="2:4" ht="12" customHeight="1">
      <c r="B3" s="160"/>
      <c r="C3" s="175" t="s">
        <v>288</v>
      </c>
      <c r="D3" s="162"/>
    </row>
    <row r="4" spans="2:4" ht="12" customHeight="1">
      <c r="B4" s="160"/>
      <c r="C4" s="175" t="s">
        <v>289</v>
      </c>
      <c r="D4" s="162"/>
    </row>
    <row r="5" spans="2:4" ht="12" customHeight="1">
      <c r="B5" s="160"/>
      <c r="C5" s="175" t="s">
        <v>290</v>
      </c>
      <c r="D5" s="162"/>
    </row>
    <row r="6" spans="2:4" ht="12" customHeight="1">
      <c r="B6" s="160"/>
      <c r="C6" s="175" t="s">
        <v>291</v>
      </c>
      <c r="D6" s="162"/>
    </row>
    <row r="7" spans="2:4" ht="12" customHeight="1">
      <c r="B7" s="160"/>
      <c r="C7" s="175" t="s">
        <v>292</v>
      </c>
      <c r="D7" s="162"/>
    </row>
    <row r="8" spans="2:4" ht="12" customHeight="1">
      <c r="B8" s="160"/>
      <c r="C8" s="161"/>
      <c r="D8" s="162"/>
    </row>
    <row r="9" spans="2:4" ht="12" customHeight="1">
      <c r="B9" s="160"/>
      <c r="C9" s="176" t="s">
        <v>293</v>
      </c>
      <c r="D9" s="162"/>
    </row>
    <row r="10" spans="2:4" ht="12" customHeight="1">
      <c r="B10" s="160"/>
      <c r="C10" s="176" t="s">
        <v>294</v>
      </c>
      <c r="D10" s="162"/>
    </row>
    <row r="11" spans="2:4" ht="12" customHeight="1">
      <c r="B11" s="160"/>
      <c r="C11" s="161"/>
      <c r="D11" s="162"/>
    </row>
    <row r="12" spans="2:4" ht="12" customHeight="1">
      <c r="B12" s="160"/>
      <c r="C12" s="177" t="s">
        <v>295</v>
      </c>
      <c r="D12" s="162"/>
    </row>
    <row r="13" spans="2:4" ht="12" customHeight="1">
      <c r="B13" s="160"/>
      <c r="C13" s="177" t="s">
        <v>296</v>
      </c>
      <c r="D13" s="162"/>
    </row>
    <row r="14" spans="2:4" ht="12" customHeight="1">
      <c r="B14" s="160"/>
      <c r="C14" s="175"/>
      <c r="D14" s="162"/>
    </row>
    <row r="15" spans="2:4" ht="31.5">
      <c r="B15" s="160"/>
      <c r="C15" s="180" t="s">
        <v>297</v>
      </c>
      <c r="D15" s="162"/>
    </row>
    <row r="16" spans="2:4" ht="12" customHeight="1">
      <c r="B16" s="160"/>
      <c r="C16" s="180" t="s">
        <v>298</v>
      </c>
      <c r="D16" s="162"/>
    </row>
    <row r="17" spans="2:4" ht="12" customHeight="1">
      <c r="B17" s="160"/>
      <c r="C17" s="180" t="s">
        <v>299</v>
      </c>
      <c r="D17" s="162"/>
    </row>
    <row r="18" spans="2:4" ht="12" customHeight="1">
      <c r="B18" s="160"/>
      <c r="C18" s="180" t="s">
        <v>300</v>
      </c>
      <c r="D18" s="162"/>
    </row>
    <row r="19" spans="2:4" ht="21">
      <c r="B19" s="160"/>
      <c r="C19" s="180" t="s">
        <v>301</v>
      </c>
      <c r="D19" s="162"/>
    </row>
    <row r="20" spans="2:4" ht="21">
      <c r="B20" s="160"/>
      <c r="C20" s="180" t="s">
        <v>302</v>
      </c>
      <c r="D20" s="162"/>
    </row>
    <row r="21" spans="2:4" ht="12" customHeight="1">
      <c r="B21" s="160"/>
      <c r="C21" s="180" t="s">
        <v>303</v>
      </c>
      <c r="D21" s="162"/>
    </row>
    <row r="22" spans="2:4" ht="21">
      <c r="B22" s="160"/>
      <c r="C22" s="180" t="s">
        <v>304</v>
      </c>
      <c r="D22" s="162"/>
    </row>
    <row r="23" spans="2:4" ht="12" customHeight="1">
      <c r="B23" s="160"/>
      <c r="C23" s="180" t="s">
        <v>305</v>
      </c>
      <c r="D23" s="162"/>
    </row>
    <row r="24" spans="2:4" ht="21">
      <c r="B24" s="160"/>
      <c r="C24" s="180" t="s">
        <v>306</v>
      </c>
      <c r="D24" s="162"/>
    </row>
    <row r="25" spans="2:4" ht="31.5">
      <c r="B25" s="160"/>
      <c r="C25" s="180" t="s">
        <v>307</v>
      </c>
      <c r="D25" s="162"/>
    </row>
    <row r="26" spans="2:4" ht="21">
      <c r="B26" s="160"/>
      <c r="C26" s="180" t="s">
        <v>308</v>
      </c>
      <c r="D26" s="162"/>
    </row>
    <row r="27" spans="2:4" ht="21">
      <c r="B27" s="160"/>
      <c r="C27" s="180" t="s">
        <v>309</v>
      </c>
      <c r="D27" s="162"/>
    </row>
    <row r="28" spans="2:4" ht="31.5">
      <c r="B28" s="160"/>
      <c r="C28" s="180" t="s">
        <v>310</v>
      </c>
      <c r="D28" s="162"/>
    </row>
    <row r="29" spans="2:4" ht="21">
      <c r="B29" s="160"/>
      <c r="C29" s="180" t="s">
        <v>311</v>
      </c>
      <c r="D29" s="162"/>
    </row>
    <row r="30" spans="2:4" ht="21">
      <c r="B30" s="160"/>
      <c r="C30" s="180" t="s">
        <v>312</v>
      </c>
      <c r="D30" s="162"/>
    </row>
    <row r="31" spans="2:4" ht="12" customHeight="1">
      <c r="B31" s="160"/>
      <c r="C31" s="180" t="s">
        <v>313</v>
      </c>
      <c r="D31" s="162"/>
    </row>
    <row r="32" spans="2:4" ht="21">
      <c r="B32" s="160"/>
      <c r="C32" s="180" t="s">
        <v>314</v>
      </c>
      <c r="D32" s="162"/>
    </row>
    <row r="33" spans="2:4" ht="12" customHeight="1">
      <c r="B33" s="160"/>
      <c r="C33" s="175"/>
      <c r="D33" s="162"/>
    </row>
    <row r="34" spans="2:4" ht="12" customHeight="1">
      <c r="B34" s="160"/>
      <c r="C34" s="177" t="s">
        <v>315</v>
      </c>
      <c r="D34" s="162"/>
    </row>
    <row r="35" spans="2:4" ht="12" customHeight="1">
      <c r="B35" s="160"/>
      <c r="C35" s="177" t="s">
        <v>316</v>
      </c>
      <c r="D35" s="162"/>
    </row>
    <row r="36" spans="2:4" ht="12" customHeight="1">
      <c r="B36" s="160"/>
      <c r="C36" s="175"/>
      <c r="D36" s="162"/>
    </row>
    <row r="37" spans="2:4" ht="63">
      <c r="B37" s="160"/>
      <c r="C37" s="180" t="s">
        <v>317</v>
      </c>
      <c r="D37" s="162"/>
    </row>
    <row r="38" spans="2:4" ht="21">
      <c r="B38" s="160"/>
      <c r="C38" s="180" t="s">
        <v>318</v>
      </c>
      <c r="D38" s="162"/>
    </row>
    <row r="39" spans="2:4" ht="12" customHeight="1">
      <c r="B39" s="160"/>
      <c r="C39" s="180" t="s">
        <v>319</v>
      </c>
      <c r="D39" s="162"/>
    </row>
    <row r="40" spans="2:4" ht="21">
      <c r="B40" s="160"/>
      <c r="C40" s="180" t="s">
        <v>320</v>
      </c>
      <c r="D40" s="162"/>
    </row>
    <row r="41" spans="2:4" ht="42">
      <c r="B41" s="160"/>
      <c r="C41" s="180" t="s">
        <v>321</v>
      </c>
      <c r="D41" s="162"/>
    </row>
    <row r="42" spans="2:4" ht="12" customHeight="1">
      <c r="B42" s="160"/>
      <c r="C42" s="180" t="s">
        <v>322</v>
      </c>
      <c r="D42" s="162"/>
    </row>
    <row r="43" spans="2:4" ht="63">
      <c r="B43" s="160"/>
      <c r="C43" s="180" t="s">
        <v>323</v>
      </c>
      <c r="D43" s="162"/>
    </row>
    <row r="44" spans="2:4" ht="21">
      <c r="B44" s="160"/>
      <c r="C44" s="180" t="s">
        <v>324</v>
      </c>
      <c r="D44" s="162"/>
    </row>
    <row r="45" spans="2:4" ht="31.5">
      <c r="B45" s="160"/>
      <c r="C45" s="180" t="s">
        <v>325</v>
      </c>
      <c r="D45" s="162"/>
    </row>
    <row r="46" spans="2:4" ht="12" customHeight="1">
      <c r="B46" s="160"/>
      <c r="C46" s="180" t="s">
        <v>326</v>
      </c>
      <c r="D46" s="162"/>
    </row>
    <row r="47" spans="2:4" ht="12" customHeight="1">
      <c r="B47" s="160"/>
      <c r="C47" s="180" t="s">
        <v>327</v>
      </c>
      <c r="D47" s="162"/>
    </row>
    <row r="48" spans="2:4" ht="12" customHeight="1">
      <c r="B48" s="160"/>
      <c r="C48" s="180" t="s">
        <v>328</v>
      </c>
      <c r="D48" s="162"/>
    </row>
    <row r="49" spans="2:4" ht="21">
      <c r="B49" s="160"/>
      <c r="C49" s="180" t="s">
        <v>329</v>
      </c>
      <c r="D49" s="162"/>
    </row>
    <row r="50" spans="2:4" ht="52.5">
      <c r="B50" s="160"/>
      <c r="C50" s="180" t="s">
        <v>330</v>
      </c>
      <c r="D50" s="162"/>
    </row>
    <row r="51" spans="2:4" ht="31.5">
      <c r="B51" s="160"/>
      <c r="C51" s="180" t="s">
        <v>331</v>
      </c>
      <c r="D51" s="162"/>
    </row>
    <row r="52" spans="2:4" ht="12" customHeight="1">
      <c r="B52" s="160"/>
      <c r="C52" s="180" t="s">
        <v>332</v>
      </c>
      <c r="D52" s="162"/>
    </row>
    <row r="53" spans="2:4" ht="52.5">
      <c r="B53" s="160"/>
      <c r="C53" s="180" t="s">
        <v>333</v>
      </c>
      <c r="D53" s="162"/>
    </row>
    <row r="54" spans="2:4" ht="21">
      <c r="B54" s="160"/>
      <c r="C54" s="180" t="s">
        <v>334</v>
      </c>
      <c r="D54" s="162"/>
    </row>
    <row r="55" spans="2:4" ht="52.5">
      <c r="B55" s="160"/>
      <c r="C55" s="180" t="s">
        <v>335</v>
      </c>
      <c r="D55" s="162"/>
    </row>
    <row r="56" spans="2:4" ht="21">
      <c r="B56" s="160"/>
      <c r="C56" s="180" t="s">
        <v>336</v>
      </c>
      <c r="D56" s="162"/>
    </row>
    <row r="57" spans="2:4" ht="42">
      <c r="B57" s="160"/>
      <c r="C57" s="180" t="s">
        <v>337</v>
      </c>
      <c r="D57" s="162"/>
    </row>
    <row r="58" spans="2:4" ht="31.5">
      <c r="B58" s="160"/>
      <c r="C58" s="180" t="s">
        <v>338</v>
      </c>
      <c r="D58" s="162"/>
    </row>
    <row r="59" spans="2:4" ht="12" customHeight="1">
      <c r="B59" s="160"/>
      <c r="C59" s="180" t="s">
        <v>339</v>
      </c>
      <c r="D59" s="162"/>
    </row>
    <row r="60" spans="2:4" ht="12" customHeight="1">
      <c r="B60" s="160"/>
      <c r="C60" s="180" t="s">
        <v>340</v>
      </c>
      <c r="D60" s="162"/>
    </row>
    <row r="61" spans="2:4" ht="63">
      <c r="B61" s="160"/>
      <c r="C61" s="180" t="s">
        <v>341</v>
      </c>
      <c r="D61" s="162"/>
    </row>
    <row r="62" spans="2:4" ht="21">
      <c r="B62" s="160"/>
      <c r="C62" s="180" t="s">
        <v>342</v>
      </c>
      <c r="D62" s="162"/>
    </row>
    <row r="63" spans="2:4" ht="21">
      <c r="B63" s="160"/>
      <c r="C63" s="180" t="s">
        <v>343</v>
      </c>
      <c r="D63" s="162"/>
    </row>
    <row r="64" spans="2:4" ht="12" customHeight="1">
      <c r="B64" s="160"/>
      <c r="C64" s="180" t="s">
        <v>344</v>
      </c>
      <c r="D64" s="162"/>
    </row>
    <row r="65" spans="2:4" ht="21">
      <c r="B65" s="160"/>
      <c r="C65" s="180" t="s">
        <v>345</v>
      </c>
      <c r="D65" s="162"/>
    </row>
    <row r="66" spans="2:4" ht="112.5" customHeight="1">
      <c r="B66" s="160"/>
      <c r="C66" s="180" t="s">
        <v>346</v>
      </c>
      <c r="D66" s="162"/>
    </row>
    <row r="67" spans="2:4" ht="31.5">
      <c r="B67" s="160"/>
      <c r="C67" s="180" t="s">
        <v>347</v>
      </c>
      <c r="D67" s="162"/>
    </row>
    <row r="68" spans="2:4" ht="31.5">
      <c r="B68" s="160"/>
      <c r="C68" s="180" t="s">
        <v>348</v>
      </c>
      <c r="D68" s="162"/>
    </row>
    <row r="69" spans="2:4" ht="12" customHeight="1">
      <c r="B69" s="160"/>
      <c r="C69" s="180" t="s">
        <v>349</v>
      </c>
      <c r="D69" s="162"/>
    </row>
    <row r="70" spans="2:4" ht="26.25" customHeight="1">
      <c r="B70" s="160"/>
      <c r="C70" s="175"/>
      <c r="D70" s="162"/>
    </row>
    <row r="71" spans="2:4" ht="12" customHeight="1">
      <c r="B71" s="160"/>
      <c r="C71" s="177" t="s">
        <v>350</v>
      </c>
      <c r="D71" s="162"/>
    </row>
    <row r="72" spans="2:4" ht="12" customHeight="1">
      <c r="B72" s="160"/>
      <c r="C72" s="177" t="s">
        <v>351</v>
      </c>
      <c r="D72" s="162"/>
    </row>
    <row r="73" spans="2:4" ht="12" customHeight="1">
      <c r="B73" s="160"/>
      <c r="C73" s="175"/>
      <c r="D73" s="162"/>
    </row>
    <row r="74" spans="2:4" ht="42">
      <c r="B74" s="160"/>
      <c r="C74" s="180" t="s">
        <v>0</v>
      </c>
      <c r="D74" s="162"/>
    </row>
    <row r="75" spans="2:4" ht="31.5">
      <c r="B75" s="160"/>
      <c r="C75" s="180" t="s">
        <v>1</v>
      </c>
      <c r="D75" s="162"/>
    </row>
    <row r="76" spans="2:4" ht="21">
      <c r="B76" s="160"/>
      <c r="C76" s="180" t="s">
        <v>2</v>
      </c>
      <c r="D76" s="162"/>
    </row>
    <row r="77" spans="2:4" ht="31.5">
      <c r="B77" s="160"/>
      <c r="C77" s="180" t="s">
        <v>58</v>
      </c>
      <c r="D77" s="162"/>
    </row>
    <row r="78" spans="2:4" ht="42">
      <c r="B78" s="160"/>
      <c r="C78" s="180" t="s">
        <v>3</v>
      </c>
      <c r="D78" s="162"/>
    </row>
    <row r="79" spans="2:4" ht="42">
      <c r="B79" s="160"/>
      <c r="C79" s="180" t="s">
        <v>59</v>
      </c>
      <c r="D79" s="162"/>
    </row>
    <row r="80" spans="2:4" ht="73.5">
      <c r="B80" s="160"/>
      <c r="C80" s="180" t="s">
        <v>4</v>
      </c>
      <c r="D80" s="162"/>
    </row>
    <row r="81" spans="2:4" ht="31.5">
      <c r="B81" s="160"/>
      <c r="C81" s="180" t="s">
        <v>5</v>
      </c>
      <c r="D81" s="162"/>
    </row>
    <row r="82" spans="2:4" ht="21">
      <c r="B82" s="160"/>
      <c r="C82" s="180" t="s">
        <v>6</v>
      </c>
      <c r="D82" s="162"/>
    </row>
    <row r="83" spans="2:4" ht="31.5">
      <c r="B83" s="160"/>
      <c r="C83" s="180" t="s">
        <v>7</v>
      </c>
      <c r="D83" s="162"/>
    </row>
    <row r="84" spans="2:4" ht="42">
      <c r="B84" s="160"/>
      <c r="C84" s="180" t="s">
        <v>8</v>
      </c>
      <c r="D84" s="162"/>
    </row>
    <row r="85" spans="2:4" ht="31.5">
      <c r="B85" s="160"/>
      <c r="C85" s="180" t="s">
        <v>9</v>
      </c>
      <c r="D85" s="162"/>
    </row>
    <row r="86" spans="2:4" ht="21">
      <c r="B86" s="160"/>
      <c r="C86" s="180" t="s">
        <v>10</v>
      </c>
      <c r="D86" s="162"/>
    </row>
    <row r="87" spans="2:4" ht="52.5">
      <c r="B87" s="160"/>
      <c r="C87" s="180" t="s">
        <v>11</v>
      </c>
      <c r="D87" s="162"/>
    </row>
    <row r="88" spans="2:4" ht="21">
      <c r="B88" s="160"/>
      <c r="C88" s="180" t="s">
        <v>12</v>
      </c>
      <c r="D88" s="162"/>
    </row>
    <row r="89" spans="2:4" ht="31.5">
      <c r="B89" s="160"/>
      <c r="C89" s="180" t="s">
        <v>13</v>
      </c>
      <c r="D89" s="162"/>
    </row>
    <row r="90" spans="2:4" ht="31.5">
      <c r="B90" s="160"/>
      <c r="C90" s="180" t="s">
        <v>14</v>
      </c>
      <c r="D90" s="162"/>
    </row>
    <row r="91" spans="2:4" ht="12" customHeight="1">
      <c r="B91" s="160"/>
      <c r="C91" s="180" t="s">
        <v>15</v>
      </c>
      <c r="D91" s="162"/>
    </row>
    <row r="92" spans="2:4" ht="21">
      <c r="B92" s="160"/>
      <c r="C92" s="180" t="s">
        <v>17</v>
      </c>
      <c r="D92" s="162"/>
    </row>
    <row r="93" spans="2:4" ht="42">
      <c r="B93" s="160"/>
      <c r="C93" s="180" t="s">
        <v>18</v>
      </c>
      <c r="D93" s="162"/>
    </row>
    <row r="94" spans="2:4" ht="42">
      <c r="B94" s="160"/>
      <c r="C94" s="180" t="s">
        <v>60</v>
      </c>
      <c r="D94" s="162"/>
    </row>
    <row r="95" spans="2:4" ht="31.5">
      <c r="B95" s="160"/>
      <c r="C95" s="180" t="s">
        <v>19</v>
      </c>
      <c r="D95" s="162"/>
    </row>
    <row r="96" spans="2:4" ht="42">
      <c r="B96" s="160"/>
      <c r="C96" s="180" t="s">
        <v>20</v>
      </c>
      <c r="D96" s="162"/>
    </row>
    <row r="97" spans="2:4" ht="42">
      <c r="B97" s="160"/>
      <c r="C97" s="180" t="s">
        <v>21</v>
      </c>
      <c r="D97" s="162"/>
    </row>
    <row r="98" spans="2:4" ht="21">
      <c r="B98" s="160"/>
      <c r="C98" s="180" t="s">
        <v>22</v>
      </c>
      <c r="D98" s="162"/>
    </row>
    <row r="99" spans="2:4" ht="12" customHeight="1">
      <c r="B99" s="160"/>
      <c r="C99" s="180" t="s">
        <v>61</v>
      </c>
      <c r="D99" s="162"/>
    </row>
    <row r="100" spans="2:4" ht="12" customHeight="1">
      <c r="B100" s="160"/>
      <c r="C100" s="180" t="s">
        <v>23</v>
      </c>
      <c r="D100" s="162"/>
    </row>
    <row r="101" spans="2:4" ht="12" customHeight="1">
      <c r="B101" s="160"/>
      <c r="C101" s="180" t="s">
        <v>24</v>
      </c>
      <c r="D101" s="162"/>
    </row>
    <row r="102" spans="2:4" ht="12" customHeight="1">
      <c r="B102" s="160"/>
      <c r="C102" s="180" t="s">
        <v>25</v>
      </c>
      <c r="D102" s="162"/>
    </row>
    <row r="103" spans="2:4" ht="12.75">
      <c r="B103" s="160"/>
      <c r="C103" s="180" t="s">
        <v>26</v>
      </c>
      <c r="D103" s="162"/>
    </row>
    <row r="104" spans="2:4" ht="52.5">
      <c r="B104" s="160"/>
      <c r="C104" s="180" t="s">
        <v>62</v>
      </c>
      <c r="D104" s="162"/>
    </row>
    <row r="105" spans="2:4" ht="31.5">
      <c r="B105" s="160"/>
      <c r="C105" s="180" t="s">
        <v>27</v>
      </c>
      <c r="D105" s="162"/>
    </row>
    <row r="106" spans="2:4" ht="31.5">
      <c r="B106" s="160"/>
      <c r="C106" s="180" t="s">
        <v>28</v>
      </c>
      <c r="D106" s="162"/>
    </row>
    <row r="107" spans="2:4" ht="21">
      <c r="B107" s="160"/>
      <c r="C107" s="180" t="s">
        <v>29</v>
      </c>
      <c r="D107" s="162"/>
    </row>
    <row r="108" spans="2:4" ht="12.75">
      <c r="B108" s="160"/>
      <c r="C108" s="180" t="s">
        <v>30</v>
      </c>
      <c r="D108" s="162"/>
    </row>
    <row r="109" spans="2:4" ht="42">
      <c r="B109" s="160"/>
      <c r="C109" s="180" t="s">
        <v>31</v>
      </c>
      <c r="D109" s="162"/>
    </row>
    <row r="110" spans="2:4" ht="31.5">
      <c r="B110" s="160"/>
      <c r="C110" s="180" t="s">
        <v>32</v>
      </c>
      <c r="D110" s="162"/>
    </row>
    <row r="111" spans="2:4" ht="21">
      <c r="B111" s="160"/>
      <c r="C111" s="180" t="s">
        <v>33</v>
      </c>
      <c r="D111" s="162"/>
    </row>
    <row r="112" spans="2:4" ht="38.25" customHeight="1">
      <c r="B112" s="160"/>
      <c r="C112" s="180" t="s">
        <v>34</v>
      </c>
      <c r="D112" s="162"/>
    </row>
    <row r="113" spans="2:4" ht="31.5">
      <c r="B113" s="160"/>
      <c r="C113" s="180" t="s">
        <v>35</v>
      </c>
      <c r="D113" s="162"/>
    </row>
    <row r="114" spans="2:4" ht="84">
      <c r="B114" s="160"/>
      <c r="C114" s="180" t="s">
        <v>63</v>
      </c>
      <c r="D114" s="162"/>
    </row>
    <row r="115" spans="2:4" ht="52.5">
      <c r="B115" s="160"/>
      <c r="C115" s="180" t="s">
        <v>36</v>
      </c>
      <c r="D115" s="162"/>
    </row>
    <row r="116" spans="2:4" ht="12.75">
      <c r="B116" s="160"/>
      <c r="C116" s="180" t="s">
        <v>37</v>
      </c>
      <c r="D116" s="162"/>
    </row>
    <row r="117" spans="2:4" ht="21">
      <c r="B117" s="160"/>
      <c r="C117" s="180" t="s">
        <v>38</v>
      </c>
      <c r="D117" s="162"/>
    </row>
    <row r="118" spans="2:4" ht="42">
      <c r="B118" s="160"/>
      <c r="C118" s="180" t="s">
        <v>39</v>
      </c>
      <c r="D118" s="162"/>
    </row>
    <row r="119" spans="2:4" ht="52.5">
      <c r="B119" s="160"/>
      <c r="C119" s="180" t="s">
        <v>77</v>
      </c>
      <c r="D119" s="162"/>
    </row>
    <row r="120" spans="2:4" ht="21">
      <c r="B120" s="160"/>
      <c r="C120" s="180" t="s">
        <v>78</v>
      </c>
      <c r="D120" s="162"/>
    </row>
    <row r="121" spans="2:4" ht="12.75">
      <c r="B121" s="160"/>
      <c r="C121" s="180" t="s">
        <v>37</v>
      </c>
      <c r="D121" s="162"/>
    </row>
    <row r="122" spans="2:4" ht="21">
      <c r="B122" s="160"/>
      <c r="C122" s="180" t="s">
        <v>38</v>
      </c>
      <c r="D122" s="162"/>
    </row>
    <row r="123" spans="2:4" ht="42">
      <c r="B123" s="160"/>
      <c r="C123" s="180" t="s">
        <v>79</v>
      </c>
      <c r="D123" s="162"/>
    </row>
    <row r="124" spans="2:4" ht="52.5">
      <c r="B124" s="160"/>
      <c r="C124" s="180" t="s">
        <v>64</v>
      </c>
      <c r="D124" s="162"/>
    </row>
    <row r="125" spans="2:4" ht="21">
      <c r="B125" s="160"/>
      <c r="C125" s="180" t="s">
        <v>65</v>
      </c>
      <c r="D125" s="162"/>
    </row>
    <row r="126" spans="2:4" ht="42">
      <c r="B126" s="160"/>
      <c r="C126" s="180" t="s">
        <v>80</v>
      </c>
      <c r="D126" s="162"/>
    </row>
    <row r="127" spans="2:4" ht="12" customHeight="1">
      <c r="B127" s="160"/>
      <c r="C127" s="264" t="s">
        <v>81</v>
      </c>
      <c r="D127" s="162"/>
    </row>
    <row r="128" spans="2:4" ht="12" customHeight="1">
      <c r="B128" s="160"/>
      <c r="C128" s="264"/>
      <c r="D128" s="162"/>
    </row>
    <row r="129" spans="2:4" ht="12" customHeight="1">
      <c r="B129" s="160"/>
      <c r="C129" s="177" t="s">
        <v>82</v>
      </c>
      <c r="D129" s="162"/>
    </row>
    <row r="130" spans="2:4" ht="12" customHeight="1">
      <c r="B130" s="160"/>
      <c r="C130" s="177" t="s">
        <v>83</v>
      </c>
      <c r="D130" s="162"/>
    </row>
    <row r="131" spans="2:4" ht="12" customHeight="1">
      <c r="B131" s="160"/>
      <c r="C131" s="175"/>
      <c r="D131" s="162"/>
    </row>
    <row r="132" spans="2:4" ht="42">
      <c r="B132" s="160"/>
      <c r="C132" s="180" t="s">
        <v>66</v>
      </c>
      <c r="D132" s="162"/>
    </row>
    <row r="133" spans="2:4" ht="31.5">
      <c r="B133" s="160"/>
      <c r="C133" s="180" t="s">
        <v>67</v>
      </c>
      <c r="D133" s="162"/>
    </row>
    <row r="134" spans="2:4" ht="42">
      <c r="B134" s="160"/>
      <c r="C134" s="180" t="s">
        <v>68</v>
      </c>
      <c r="D134" s="162"/>
    </row>
    <row r="135" spans="2:4" ht="21">
      <c r="B135" s="160"/>
      <c r="C135" s="180" t="s">
        <v>84</v>
      </c>
      <c r="D135" s="162"/>
    </row>
    <row r="136" spans="2:4" ht="31.5">
      <c r="B136" s="160"/>
      <c r="C136" s="180" t="s">
        <v>69</v>
      </c>
      <c r="D136" s="162"/>
    </row>
    <row r="137" spans="2:4" ht="42">
      <c r="B137" s="160"/>
      <c r="C137" s="180" t="s">
        <v>85</v>
      </c>
      <c r="D137" s="162"/>
    </row>
    <row r="138" spans="2:4" ht="42">
      <c r="B138" s="160"/>
      <c r="C138" s="180" t="s">
        <v>86</v>
      </c>
      <c r="D138" s="162"/>
    </row>
    <row r="139" spans="2:4" ht="63">
      <c r="B139" s="160"/>
      <c r="C139" s="180" t="s">
        <v>70</v>
      </c>
      <c r="D139" s="162"/>
    </row>
    <row r="140" spans="2:4" ht="31.5">
      <c r="B140" s="160"/>
      <c r="C140" s="180" t="s">
        <v>87</v>
      </c>
      <c r="D140" s="162"/>
    </row>
    <row r="141" spans="2:4" ht="21">
      <c r="B141" s="160"/>
      <c r="C141" s="180" t="s">
        <v>88</v>
      </c>
      <c r="D141" s="162"/>
    </row>
    <row r="142" spans="2:4" ht="31.5">
      <c r="B142" s="160"/>
      <c r="C142" s="180" t="s">
        <v>89</v>
      </c>
      <c r="D142" s="162"/>
    </row>
    <row r="143" spans="2:4" ht="12.75">
      <c r="B143" s="160"/>
      <c r="C143" s="180" t="s">
        <v>90</v>
      </c>
      <c r="D143" s="162"/>
    </row>
    <row r="144" spans="2:4" ht="31.5">
      <c r="B144" s="160"/>
      <c r="C144" s="180" t="s">
        <v>91</v>
      </c>
      <c r="D144" s="162"/>
    </row>
    <row r="145" spans="2:4" ht="31.5">
      <c r="B145" s="160"/>
      <c r="C145" s="180" t="s">
        <v>92</v>
      </c>
      <c r="D145" s="162"/>
    </row>
    <row r="146" spans="2:4" ht="21">
      <c r="B146" s="160"/>
      <c r="C146" s="180" t="s">
        <v>93</v>
      </c>
      <c r="D146" s="162"/>
    </row>
    <row r="147" spans="2:4" ht="21">
      <c r="B147" s="160"/>
      <c r="C147" s="180" t="s">
        <v>94</v>
      </c>
      <c r="D147" s="162"/>
    </row>
    <row r="148" spans="2:4" ht="12.75">
      <c r="B148" s="160"/>
      <c r="C148" s="180" t="s">
        <v>95</v>
      </c>
      <c r="D148" s="162"/>
    </row>
    <row r="149" spans="2:4" ht="21">
      <c r="B149" s="160"/>
      <c r="C149" s="180" t="s">
        <v>96</v>
      </c>
      <c r="D149" s="162"/>
    </row>
    <row r="150" spans="2:4" ht="12" customHeight="1">
      <c r="B150" s="160"/>
      <c r="C150" s="180" t="s">
        <v>97</v>
      </c>
      <c r="D150" s="162"/>
    </row>
    <row r="151" spans="2:4" ht="12" customHeight="1">
      <c r="B151" s="160"/>
      <c r="C151" s="180" t="s">
        <v>98</v>
      </c>
      <c r="D151" s="162"/>
    </row>
    <row r="152" spans="2:4" ht="12" customHeight="1">
      <c r="B152" s="160"/>
      <c r="C152" s="180" t="s">
        <v>99</v>
      </c>
      <c r="D152" s="162"/>
    </row>
    <row r="153" spans="2:4" ht="12.75">
      <c r="B153" s="160"/>
      <c r="C153" s="180" t="s">
        <v>100</v>
      </c>
      <c r="D153" s="162"/>
    </row>
    <row r="154" spans="2:4" ht="31.5">
      <c r="B154" s="160"/>
      <c r="C154" s="180" t="s">
        <v>101</v>
      </c>
      <c r="D154" s="162"/>
    </row>
    <row r="155" spans="2:4" ht="52.5">
      <c r="B155" s="160"/>
      <c r="C155" s="180" t="s">
        <v>102</v>
      </c>
      <c r="D155" s="162"/>
    </row>
    <row r="156" spans="2:4" ht="12.75">
      <c r="B156" s="160"/>
      <c r="C156" s="180" t="s">
        <v>103</v>
      </c>
      <c r="D156" s="162"/>
    </row>
    <row r="157" spans="2:4" ht="21">
      <c r="B157" s="160"/>
      <c r="C157" s="180" t="s">
        <v>104</v>
      </c>
      <c r="D157" s="162"/>
    </row>
    <row r="158" spans="2:4" ht="21">
      <c r="B158" s="160"/>
      <c r="C158" s="180" t="s">
        <v>105</v>
      </c>
      <c r="D158" s="162"/>
    </row>
    <row r="159" spans="2:4" ht="21.75">
      <c r="B159" s="160"/>
      <c r="C159" s="264" t="s">
        <v>106</v>
      </c>
      <c r="D159" s="162"/>
    </row>
    <row r="160" spans="2:4" ht="12" customHeight="1">
      <c r="B160" s="160"/>
      <c r="C160" s="175"/>
      <c r="D160" s="162"/>
    </row>
    <row r="161" spans="2:4" ht="12" customHeight="1">
      <c r="B161" s="160"/>
      <c r="C161" s="175"/>
      <c r="D161" s="162"/>
    </row>
    <row r="162" spans="2:4" ht="12" customHeight="1">
      <c r="B162" s="160"/>
      <c r="C162" s="175"/>
      <c r="D162" s="162"/>
    </row>
    <row r="163" spans="2:4" ht="12" customHeight="1" thickBot="1">
      <c r="B163" s="163"/>
      <c r="C163" s="178"/>
      <c r="D163" s="165"/>
    </row>
    <row r="164" ht="12" customHeight="1">
      <c r="C164" s="179"/>
    </row>
    <row r="165" ht="12" customHeight="1">
      <c r="C165" s="179"/>
    </row>
    <row r="166" ht="12" customHeight="1">
      <c r="C166" s="179"/>
    </row>
    <row r="167" ht="12" customHeight="1">
      <c r="C167" s="179"/>
    </row>
    <row r="168" ht="12" customHeight="1">
      <c r="C168" s="179"/>
    </row>
    <row r="169" ht="12" customHeight="1">
      <c r="C169" s="179"/>
    </row>
    <row r="170" ht="12" customHeight="1">
      <c r="C170" s="179"/>
    </row>
    <row r="171" ht="12" customHeight="1">
      <c r="C171" s="179"/>
    </row>
    <row r="172" ht="12" customHeight="1">
      <c r="C172" s="179"/>
    </row>
    <row r="173" ht="12" customHeight="1">
      <c r="C173" s="179"/>
    </row>
    <row r="174" ht="12" customHeight="1">
      <c r="C174" s="179"/>
    </row>
    <row r="175" ht="12" customHeight="1">
      <c r="C175" s="179"/>
    </row>
    <row r="176" ht="12" customHeight="1">
      <c r="C176" s="179"/>
    </row>
    <row r="177" ht="12" customHeight="1">
      <c r="C177" s="179"/>
    </row>
    <row r="178" ht="12" customHeight="1">
      <c r="C178" s="179"/>
    </row>
    <row r="179" ht="12" customHeight="1">
      <c r="C179" s="179"/>
    </row>
    <row r="180" ht="12" customHeight="1">
      <c r="C180" s="179"/>
    </row>
    <row r="181" ht="12" customHeight="1">
      <c r="C181" s="179"/>
    </row>
    <row r="182" ht="12" customHeight="1">
      <c r="C182" s="179"/>
    </row>
    <row r="183" ht="12" customHeight="1">
      <c r="C183" s="179"/>
    </row>
    <row r="184" ht="12" customHeight="1">
      <c r="C184" s="179"/>
    </row>
    <row r="185" ht="12" customHeight="1">
      <c r="C185" s="179"/>
    </row>
    <row r="186" ht="12" customHeight="1">
      <c r="C186" s="179"/>
    </row>
    <row r="187" ht="12" customHeight="1">
      <c r="C187" s="179"/>
    </row>
    <row r="188" ht="12" customHeight="1">
      <c r="C188" s="179"/>
    </row>
    <row r="189" ht="12" customHeight="1">
      <c r="C189" s="179"/>
    </row>
    <row r="190" ht="12" customHeight="1">
      <c r="C190" s="179"/>
    </row>
    <row r="191" ht="12" customHeight="1">
      <c r="C191" s="179"/>
    </row>
    <row r="192" ht="12" customHeight="1">
      <c r="C192" s="179"/>
    </row>
    <row r="193" ht="12" customHeight="1">
      <c r="C193" s="179"/>
    </row>
    <row r="194" ht="12" customHeight="1">
      <c r="C194" s="179"/>
    </row>
    <row r="195" ht="12" customHeight="1">
      <c r="C195" s="179"/>
    </row>
    <row r="196" ht="12" customHeight="1">
      <c r="C196" s="179"/>
    </row>
    <row r="197" ht="12" customHeight="1">
      <c r="C197" s="179"/>
    </row>
    <row r="198" ht="12" customHeight="1">
      <c r="C198" s="179"/>
    </row>
    <row r="199" ht="12" customHeight="1">
      <c r="C199" s="179"/>
    </row>
    <row r="200" ht="12" customHeight="1">
      <c r="C200" s="179"/>
    </row>
    <row r="201" ht="12" customHeight="1">
      <c r="C201" s="179"/>
    </row>
    <row r="202" ht="12" customHeight="1">
      <c r="C202" s="179"/>
    </row>
    <row r="203" ht="12" customHeight="1">
      <c r="C203" s="179"/>
    </row>
    <row r="204" ht="12" customHeight="1">
      <c r="C204" s="179"/>
    </row>
    <row r="205" ht="12" customHeight="1">
      <c r="C205" s="179"/>
    </row>
    <row r="206" ht="12" customHeight="1">
      <c r="C206" s="179"/>
    </row>
    <row r="207" ht="12" customHeight="1">
      <c r="C207" s="179"/>
    </row>
    <row r="208" ht="12" customHeight="1">
      <c r="C208" s="179"/>
    </row>
    <row r="209" ht="12" customHeight="1">
      <c r="C209" s="179"/>
    </row>
    <row r="210" ht="12" customHeight="1">
      <c r="C210" s="179"/>
    </row>
    <row r="211" ht="12" customHeight="1">
      <c r="C211" s="179"/>
    </row>
    <row r="212" ht="12" customHeight="1">
      <c r="C212" s="179"/>
    </row>
    <row r="213" ht="12" customHeight="1">
      <c r="C213" s="179"/>
    </row>
    <row r="214" ht="12" customHeight="1">
      <c r="C214" s="179"/>
    </row>
    <row r="215" ht="12" customHeight="1">
      <c r="C215" s="179"/>
    </row>
    <row r="216" ht="12" customHeight="1">
      <c r="C216" s="179"/>
    </row>
    <row r="217" ht="12" customHeight="1">
      <c r="C217" s="179"/>
    </row>
    <row r="218" ht="12" customHeight="1">
      <c r="C218" s="179"/>
    </row>
    <row r="219" ht="12" customHeight="1">
      <c r="C219" s="179"/>
    </row>
    <row r="220" ht="12" customHeight="1">
      <c r="C220" s="179"/>
    </row>
    <row r="221" ht="12" customHeight="1">
      <c r="C221" s="179"/>
    </row>
    <row r="222" ht="12" customHeight="1">
      <c r="C222" s="179"/>
    </row>
    <row r="223" ht="12" customHeight="1">
      <c r="C223" s="179"/>
    </row>
    <row r="224" ht="12" customHeight="1">
      <c r="C224" s="179"/>
    </row>
    <row r="225" ht="12" customHeight="1">
      <c r="C225" s="179"/>
    </row>
    <row r="226" ht="12" customHeight="1">
      <c r="C226" s="179"/>
    </row>
    <row r="227" ht="12" customHeight="1">
      <c r="C227" s="179"/>
    </row>
    <row r="228" ht="12" customHeight="1">
      <c r="C228" s="179"/>
    </row>
    <row r="229" ht="12" customHeight="1">
      <c r="C229" s="179"/>
    </row>
    <row r="230" ht="12" customHeight="1">
      <c r="C230" s="179"/>
    </row>
    <row r="231" ht="12" customHeight="1">
      <c r="C231" s="179"/>
    </row>
    <row r="232" ht="12" customHeight="1">
      <c r="C232" s="179"/>
    </row>
    <row r="233" ht="12" customHeight="1">
      <c r="C233" s="179"/>
    </row>
    <row r="234" ht="12" customHeight="1">
      <c r="C234" s="179"/>
    </row>
    <row r="235" ht="12" customHeight="1">
      <c r="C235" s="179"/>
    </row>
    <row r="236" ht="12" customHeight="1">
      <c r="C236" s="179"/>
    </row>
    <row r="237" ht="12" customHeight="1">
      <c r="C237" s="179"/>
    </row>
    <row r="238" ht="12" customHeight="1">
      <c r="C238" s="179"/>
    </row>
    <row r="239" ht="12" customHeight="1">
      <c r="C239" s="179"/>
    </row>
    <row r="240" ht="12" customHeight="1">
      <c r="C240" s="179"/>
    </row>
    <row r="241" ht="12" customHeight="1">
      <c r="C241" s="179"/>
    </row>
    <row r="242" ht="12" customHeight="1">
      <c r="C242" s="179"/>
    </row>
    <row r="243" ht="12" customHeight="1">
      <c r="C243" s="179"/>
    </row>
    <row r="244" ht="12" customHeight="1">
      <c r="C244" s="179"/>
    </row>
    <row r="245" ht="12" customHeight="1">
      <c r="C245" s="179"/>
    </row>
    <row r="246" ht="12" customHeight="1">
      <c r="C246" s="179"/>
    </row>
    <row r="247" ht="12" customHeight="1">
      <c r="C247" s="179"/>
    </row>
    <row r="248" ht="12" customHeight="1">
      <c r="C248" s="179"/>
    </row>
    <row r="249" ht="12" customHeight="1">
      <c r="C249" s="179"/>
    </row>
    <row r="250" ht="12" customHeight="1">
      <c r="C250" s="179"/>
    </row>
    <row r="251" ht="12" customHeight="1">
      <c r="C251" s="179"/>
    </row>
    <row r="252" ht="12" customHeight="1">
      <c r="C252" s="179"/>
    </row>
  </sheetData>
  <sheetProtection/>
  <printOptions/>
  <pageMargins left="0.7874015748031497" right="0.3937007874015748"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3.xml><?xml version="1.0" encoding="utf-8"?>
<worksheet xmlns="http://schemas.openxmlformats.org/spreadsheetml/2006/main" xmlns:r="http://schemas.openxmlformats.org/officeDocument/2006/relationships">
  <sheetPr>
    <tabColor indexed="15"/>
  </sheetPr>
  <dimension ref="B1:AP330"/>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2" width="2.75390625" style="1" customWidth="1"/>
    <col min="3" max="3" width="5.625" style="1" customWidth="1"/>
    <col min="4" max="4" width="40.375" style="1" customWidth="1"/>
    <col min="5" max="5" width="16.00390625" style="1" customWidth="1"/>
    <col min="6" max="12" width="2.75390625" style="1" customWidth="1"/>
    <col min="13" max="13" width="3.25390625" style="1" customWidth="1"/>
    <col min="14" max="14" width="3.375" style="1" customWidth="1"/>
    <col min="15" max="15" width="2.75390625" style="1" customWidth="1"/>
    <col min="16" max="16" width="3.25390625" style="1" customWidth="1"/>
    <col min="17" max="18" width="10.75390625" style="1" customWidth="1"/>
    <col min="19" max="19" width="12.25390625" style="1" customWidth="1"/>
    <col min="20" max="22" width="10.75390625" style="1" customWidth="1"/>
    <col min="23" max="23" width="2.75390625" style="1" customWidth="1"/>
    <col min="24" max="24" width="6.75390625" style="189" customWidth="1"/>
    <col min="25" max="42" width="8.75390625" style="182" hidden="1" customWidth="1"/>
    <col min="43" max="43" width="8.75390625" style="1" customWidth="1"/>
    <col min="44" max="45" width="8.75390625" style="273" customWidth="1"/>
    <col min="46" max="49" width="8.75390625" style="1" customWidth="1"/>
    <col min="50" max="53" width="2.75390625" style="182" customWidth="1"/>
    <col min="54" max="16384" width="2.75390625" style="1" customWidth="1"/>
  </cols>
  <sheetData>
    <row r="1" spans="2:24" ht="19.5" customHeight="1" thickBot="1">
      <c r="B1" s="412" t="s">
        <v>286</v>
      </c>
      <c r="C1" s="412"/>
      <c r="D1" s="412"/>
      <c r="E1" s="412"/>
      <c r="F1" s="412"/>
      <c r="G1" s="412"/>
      <c r="H1" s="412"/>
      <c r="I1" s="412"/>
      <c r="J1" s="412"/>
      <c r="K1" s="412"/>
      <c r="L1" s="412"/>
      <c r="M1" s="412"/>
      <c r="N1" s="412"/>
      <c r="O1" s="412"/>
      <c r="P1" s="412"/>
      <c r="Q1" s="412"/>
      <c r="R1" s="412"/>
      <c r="S1" s="412"/>
      <c r="T1" s="412"/>
      <c r="U1" s="412"/>
      <c r="V1" s="412"/>
      <c r="W1" s="412"/>
      <c r="X1" s="412"/>
    </row>
    <row r="2" spans="2:34" ht="12" customHeight="1">
      <c r="B2" s="3"/>
      <c r="C2" s="4"/>
      <c r="D2" s="5"/>
      <c r="E2" s="4"/>
      <c r="F2" s="6"/>
      <c r="H2" s="3"/>
      <c r="I2" s="4"/>
      <c r="J2" s="4"/>
      <c r="K2" s="4"/>
      <c r="L2" s="4"/>
      <c r="M2" s="4"/>
      <c r="N2" s="4"/>
      <c r="O2" s="4"/>
      <c r="P2" s="4"/>
      <c r="Q2" s="4"/>
      <c r="R2" s="4"/>
      <c r="S2" s="4"/>
      <c r="T2" s="4"/>
      <c r="U2" s="4"/>
      <c r="V2" s="4"/>
      <c r="W2" s="4"/>
      <c r="X2" s="186"/>
      <c r="AH2" s="250"/>
    </row>
    <row r="3" spans="2:34" ht="12" customHeight="1">
      <c r="B3" s="7"/>
      <c r="C3" s="8"/>
      <c r="D3" s="9"/>
      <c r="E3" s="8"/>
      <c r="F3" s="10"/>
      <c r="H3" s="7"/>
      <c r="I3" s="414" t="s">
        <v>146</v>
      </c>
      <c r="J3" s="414"/>
      <c r="K3" s="414"/>
      <c r="L3" s="414"/>
      <c r="M3" s="414"/>
      <c r="N3" s="414"/>
      <c r="O3" s="414"/>
      <c r="P3" s="414"/>
      <c r="Q3" s="414"/>
      <c r="R3" s="414"/>
      <c r="S3" s="414"/>
      <c r="T3" s="414"/>
      <c r="U3" s="414"/>
      <c r="V3" s="414"/>
      <c r="W3" s="414"/>
      <c r="X3" s="187"/>
      <c r="AH3" s="250"/>
    </row>
    <row r="4" spans="2:34" ht="12" customHeight="1">
      <c r="B4" s="7"/>
      <c r="C4" s="8"/>
      <c r="D4" s="9"/>
      <c r="E4" s="8"/>
      <c r="F4" s="10"/>
      <c r="H4" s="7"/>
      <c r="I4" s="28"/>
      <c r="J4" s="28"/>
      <c r="K4" s="28"/>
      <c r="L4" s="28"/>
      <c r="M4" s="28"/>
      <c r="N4" s="28"/>
      <c r="O4" s="28"/>
      <c r="P4" s="28"/>
      <c r="Q4" s="28"/>
      <c r="R4" s="28"/>
      <c r="S4" s="28"/>
      <c r="T4" s="28"/>
      <c r="U4" s="28"/>
      <c r="V4" s="28"/>
      <c r="W4" s="28"/>
      <c r="X4" s="187"/>
      <c r="AH4" s="250"/>
    </row>
    <row r="5" spans="2:34" ht="12" customHeight="1">
      <c r="B5" s="7"/>
      <c r="C5" s="413" t="s">
        <v>113</v>
      </c>
      <c r="D5" s="413"/>
      <c r="E5" s="413"/>
      <c r="F5" s="11"/>
      <c r="G5" s="12"/>
      <c r="H5" s="26"/>
      <c r="I5" s="29"/>
      <c r="J5" s="28"/>
      <c r="K5" s="28"/>
      <c r="L5" s="28"/>
      <c r="M5" s="28"/>
      <c r="N5" s="28"/>
      <c r="O5" s="28"/>
      <c r="P5" s="28"/>
      <c r="Q5" s="28"/>
      <c r="R5" s="28"/>
      <c r="S5" s="28"/>
      <c r="T5" s="28"/>
      <c r="U5" s="28"/>
      <c r="V5" s="28"/>
      <c r="W5" s="28"/>
      <c r="X5" s="187"/>
      <c r="AH5" s="251"/>
    </row>
    <row r="6" spans="2:34" ht="12" customHeight="1">
      <c r="B6" s="7"/>
      <c r="C6" s="13"/>
      <c r="D6" s="14"/>
      <c r="E6" s="13"/>
      <c r="F6" s="11"/>
      <c r="G6" s="12"/>
      <c r="H6" s="26"/>
      <c r="I6" s="28" t="s">
        <v>117</v>
      </c>
      <c r="J6" s="28"/>
      <c r="K6" s="28"/>
      <c r="L6" s="28"/>
      <c r="M6" s="406" t="s">
        <v>107</v>
      </c>
      <c r="N6" s="406"/>
      <c r="O6" s="406"/>
      <c r="P6" s="406"/>
      <c r="Q6" s="406"/>
      <c r="R6" s="406"/>
      <c r="S6" s="406"/>
      <c r="T6" s="406"/>
      <c r="U6" s="406"/>
      <c r="V6" s="406"/>
      <c r="W6" s="28"/>
      <c r="X6" s="187"/>
      <c r="Z6" s="252"/>
      <c r="AH6" s="251"/>
    </row>
    <row r="7" spans="2:34" ht="12" customHeight="1">
      <c r="B7" s="7"/>
      <c r="C7" s="15" t="s">
        <v>114</v>
      </c>
      <c r="D7" s="16" t="s">
        <v>115</v>
      </c>
      <c r="E7" s="16" t="s">
        <v>116</v>
      </c>
      <c r="F7" s="10"/>
      <c r="H7" s="7"/>
      <c r="I7" s="28"/>
      <c r="J7" s="28"/>
      <c r="K7" s="28"/>
      <c r="L7" s="28"/>
      <c r="M7" s="28"/>
      <c r="N7" s="28"/>
      <c r="O7" s="28"/>
      <c r="P7" s="28"/>
      <c r="Q7" s="28"/>
      <c r="R7" s="28"/>
      <c r="S7" s="28"/>
      <c r="T7" s="28"/>
      <c r="U7" s="28"/>
      <c r="V7" s="28"/>
      <c r="W7" s="28"/>
      <c r="X7" s="187"/>
      <c r="Z7" s="182">
        <f>VLOOKUP($O$16,'Вид нетрудоспособ.'!$B$19:$D$22,3,0)</f>
        <v>29.33</v>
      </c>
      <c r="AH7" s="251"/>
    </row>
    <row r="8" spans="2:34" ht="12" customHeight="1">
      <c r="B8" s="7"/>
      <c r="C8" s="17">
        <v>1</v>
      </c>
      <c r="D8" s="18" t="s">
        <v>279</v>
      </c>
      <c r="E8" s="19">
        <v>123</v>
      </c>
      <c r="F8" s="10"/>
      <c r="H8" s="7"/>
      <c r="I8" s="28" t="s">
        <v>116</v>
      </c>
      <c r="J8" s="28"/>
      <c r="K8" s="28"/>
      <c r="L8" s="28"/>
      <c r="M8" s="28"/>
      <c r="N8" s="28"/>
      <c r="O8" s="411">
        <f>IF(M6="","",VLOOKUP(M6,D7:E311,2,0))</f>
        <v>48</v>
      </c>
      <c r="P8" s="411"/>
      <c r="Q8" s="411"/>
      <c r="R8" s="154"/>
      <c r="S8" s="154"/>
      <c r="T8" s="154"/>
      <c r="U8" s="28"/>
      <c r="V8" s="28"/>
      <c r="W8" s="28"/>
      <c r="X8" s="187"/>
      <c r="Z8" s="182">
        <f>VLOOKUP($O$16,'Вид нетрудоспособ.'!B19:C22,2,0)</f>
        <v>2</v>
      </c>
      <c r="AH8" s="251"/>
    </row>
    <row r="9" spans="2:34" ht="12" customHeight="1">
      <c r="B9" s="7"/>
      <c r="C9" s="17">
        <v>2</v>
      </c>
      <c r="D9" s="18" t="s">
        <v>280</v>
      </c>
      <c r="E9" s="19">
        <v>145</v>
      </c>
      <c r="F9" s="10"/>
      <c r="H9" s="7"/>
      <c r="I9" s="28"/>
      <c r="J9" s="28"/>
      <c r="K9" s="28"/>
      <c r="L9" s="28"/>
      <c r="M9" s="28"/>
      <c r="N9" s="28"/>
      <c r="O9" s="28"/>
      <c r="P9" s="28"/>
      <c r="Q9" s="28"/>
      <c r="R9" s="28"/>
      <c r="S9" s="28"/>
      <c r="T9" s="28"/>
      <c r="U9" s="28"/>
      <c r="V9" s="28"/>
      <c r="W9" s="28"/>
      <c r="X9" s="187"/>
      <c r="AH9" s="251"/>
    </row>
    <row r="10" spans="2:34" ht="12" customHeight="1">
      <c r="B10" s="7"/>
      <c r="C10" s="17">
        <v>3</v>
      </c>
      <c r="D10" s="18" t="s">
        <v>107</v>
      </c>
      <c r="E10" s="19">
        <v>48</v>
      </c>
      <c r="F10" s="10"/>
      <c r="H10" s="7"/>
      <c r="I10" s="28" t="s">
        <v>165</v>
      </c>
      <c r="J10" s="28"/>
      <c r="K10" s="28"/>
      <c r="L10" s="28"/>
      <c r="M10" s="28"/>
      <c r="N10" s="28"/>
      <c r="O10" s="28"/>
      <c r="P10" s="28"/>
      <c r="Q10" s="190" t="s">
        <v>166</v>
      </c>
      <c r="R10" s="191" t="s">
        <v>281</v>
      </c>
      <c r="S10" s="190" t="s">
        <v>167</v>
      </c>
      <c r="T10" s="192" t="s">
        <v>189</v>
      </c>
      <c r="U10" s="154"/>
      <c r="V10" s="154"/>
      <c r="W10" s="28"/>
      <c r="X10" s="187"/>
      <c r="AH10" s="253"/>
    </row>
    <row r="11" spans="2:34" ht="12" customHeight="1">
      <c r="B11" s="7"/>
      <c r="C11" s="17">
        <v>4</v>
      </c>
      <c r="D11" s="18"/>
      <c r="E11" s="19"/>
      <c r="F11" s="10"/>
      <c r="H11" s="7"/>
      <c r="I11" s="28"/>
      <c r="J11" s="28"/>
      <c r="K11" s="28"/>
      <c r="L11" s="28"/>
      <c r="M11" s="28"/>
      <c r="N11" s="28"/>
      <c r="O11" s="28"/>
      <c r="P11" s="28"/>
      <c r="Q11" s="28"/>
      <c r="R11" s="28"/>
      <c r="S11" s="28"/>
      <c r="T11" s="28"/>
      <c r="U11" s="28"/>
      <c r="V11" s="28"/>
      <c r="W11" s="28"/>
      <c r="X11" s="187"/>
      <c r="AH11" s="253"/>
    </row>
    <row r="12" spans="2:34" ht="12" customHeight="1">
      <c r="B12" s="7"/>
      <c r="C12" s="17">
        <v>5</v>
      </c>
      <c r="D12" s="18"/>
      <c r="E12" s="19"/>
      <c r="F12" s="10"/>
      <c r="H12" s="7"/>
      <c r="I12" s="154"/>
      <c r="J12" s="154"/>
      <c r="K12" s="154"/>
      <c r="L12" s="154"/>
      <c r="M12" s="154"/>
      <c r="N12" s="154"/>
      <c r="O12" s="154"/>
      <c r="P12" s="28"/>
      <c r="Q12" s="28"/>
      <c r="R12" s="8"/>
      <c r="S12" s="8"/>
      <c r="T12" s="8"/>
      <c r="U12" s="8"/>
      <c r="V12" s="28"/>
      <c r="W12" s="28"/>
      <c r="X12" s="187"/>
      <c r="AH12" s="251"/>
    </row>
    <row r="13" spans="2:34" ht="12" customHeight="1">
      <c r="B13" s="7"/>
      <c r="C13" s="17">
        <v>6</v>
      </c>
      <c r="D13" s="18"/>
      <c r="E13" s="19"/>
      <c r="F13" s="10"/>
      <c r="H13" s="7"/>
      <c r="I13" s="28"/>
      <c r="J13" s="28"/>
      <c r="K13" s="28"/>
      <c r="L13" s="28"/>
      <c r="M13" s="28"/>
      <c r="N13" s="28"/>
      <c r="O13" s="28"/>
      <c r="P13" s="28"/>
      <c r="Q13" s="28"/>
      <c r="R13" s="28"/>
      <c r="S13" s="28"/>
      <c r="T13" s="28"/>
      <c r="U13" s="28"/>
      <c r="V13" s="28"/>
      <c r="W13" s="28"/>
      <c r="X13" s="187"/>
      <c r="AH13" s="253"/>
    </row>
    <row r="14" spans="2:34" ht="12" customHeight="1">
      <c r="B14" s="7"/>
      <c r="C14" s="17">
        <v>7</v>
      </c>
      <c r="D14" s="18"/>
      <c r="E14" s="19"/>
      <c r="F14" s="10"/>
      <c r="H14" s="7"/>
      <c r="I14" s="28" t="s">
        <v>118</v>
      </c>
      <c r="J14" s="28"/>
      <c r="K14" s="28"/>
      <c r="L14" s="28"/>
      <c r="M14" s="28"/>
      <c r="N14" s="28"/>
      <c r="O14" s="28"/>
      <c r="P14" s="28"/>
      <c r="Q14" s="406" t="s">
        <v>188</v>
      </c>
      <c r="R14" s="406"/>
      <c r="S14" s="406"/>
      <c r="T14" s="406"/>
      <c r="U14" s="406"/>
      <c r="V14" s="406"/>
      <c r="W14" s="28"/>
      <c r="X14" s="187"/>
      <c r="AH14" s="253"/>
    </row>
    <row r="15" spans="2:34" ht="12" customHeight="1">
      <c r="B15" s="7"/>
      <c r="C15" s="17">
        <v>8</v>
      </c>
      <c r="D15" s="18"/>
      <c r="E15" s="19"/>
      <c r="F15" s="10"/>
      <c r="H15" s="7"/>
      <c r="I15" s="28"/>
      <c r="J15" s="28"/>
      <c r="K15" s="28"/>
      <c r="L15" s="28"/>
      <c r="M15" s="28"/>
      <c r="N15" s="28"/>
      <c r="O15" s="28"/>
      <c r="P15" s="28"/>
      <c r="Q15" s="28"/>
      <c r="R15" s="28"/>
      <c r="S15" s="28"/>
      <c r="T15" s="28"/>
      <c r="U15" s="28"/>
      <c r="V15" s="28"/>
      <c r="W15" s="28"/>
      <c r="X15" s="187"/>
      <c r="AH15" s="253"/>
    </row>
    <row r="16" spans="2:34" ht="12" customHeight="1">
      <c r="B16" s="7"/>
      <c r="C16" s="17">
        <v>9</v>
      </c>
      <c r="D16" s="18"/>
      <c r="E16" s="19"/>
      <c r="F16" s="10"/>
      <c r="H16" s="7"/>
      <c r="I16" s="28" t="s">
        <v>120</v>
      </c>
      <c r="J16" s="28"/>
      <c r="K16" s="28"/>
      <c r="L16" s="28"/>
      <c r="M16" s="28"/>
      <c r="N16" s="28"/>
      <c r="O16" s="406" t="s">
        <v>143</v>
      </c>
      <c r="P16" s="406"/>
      <c r="Q16" s="406"/>
      <c r="R16" s="406"/>
      <c r="S16" s="406"/>
      <c r="T16" s="406"/>
      <c r="U16" s="406"/>
      <c r="V16" s="406"/>
      <c r="W16" s="28"/>
      <c r="X16" s="187"/>
      <c r="AH16" s="254"/>
    </row>
    <row r="17" spans="2:34" ht="12" customHeight="1">
      <c r="B17" s="7"/>
      <c r="C17" s="17">
        <v>10</v>
      </c>
      <c r="D17" s="18"/>
      <c r="E17" s="19"/>
      <c r="F17" s="10"/>
      <c r="H17" s="7"/>
      <c r="I17" s="28"/>
      <c r="J17" s="28"/>
      <c r="K17" s="28"/>
      <c r="L17" s="28"/>
      <c r="M17" s="28"/>
      <c r="N17" s="28"/>
      <c r="O17" s="28"/>
      <c r="P17" s="28"/>
      <c r="Q17" s="28"/>
      <c r="R17" s="28"/>
      <c r="S17" s="28"/>
      <c r="T17" s="28"/>
      <c r="U17" s="28"/>
      <c r="V17" s="28"/>
      <c r="W17" s="28"/>
      <c r="X17" s="187"/>
      <c r="AH17" s="249"/>
    </row>
    <row r="18" spans="2:34" ht="12" customHeight="1">
      <c r="B18" s="7"/>
      <c r="C18" s="17">
        <v>11</v>
      </c>
      <c r="D18" s="18"/>
      <c r="E18" s="19"/>
      <c r="F18" s="10"/>
      <c r="H18" s="7"/>
      <c r="I18" s="407">
        <f>IF(Z8=3,"Укажите размер тарифной ставки (оклада) (без надбавок и повышений) в ячейку снизу ",IF(Z8=1,"Укажите размер среднедневного заработка в ячейку снизу",0))</f>
        <v>0</v>
      </c>
      <c r="J18" s="407"/>
      <c r="K18" s="407"/>
      <c r="L18" s="407"/>
      <c r="M18" s="407"/>
      <c r="N18" s="407"/>
      <c r="O18" s="407"/>
      <c r="P18" s="407"/>
      <c r="Q18" s="407"/>
      <c r="R18" s="407"/>
      <c r="S18" s="407"/>
      <c r="T18" s="407"/>
      <c r="U18" s="407"/>
      <c r="V18" s="407"/>
      <c r="W18" s="28"/>
      <c r="X18" s="187"/>
      <c r="AH18" s="249"/>
    </row>
    <row r="19" spans="2:34" ht="12" customHeight="1">
      <c r="B19" s="7"/>
      <c r="C19" s="17">
        <v>12</v>
      </c>
      <c r="D19" s="18"/>
      <c r="E19" s="19"/>
      <c r="F19" s="10"/>
      <c r="H19" s="7"/>
      <c r="I19" s="28"/>
      <c r="J19" s="28"/>
      <c r="K19" s="28"/>
      <c r="L19" s="28"/>
      <c r="M19" s="28"/>
      <c r="N19" s="28"/>
      <c r="O19" s="28"/>
      <c r="P19" s="28"/>
      <c r="Q19" s="28"/>
      <c r="R19" s="28"/>
      <c r="S19" s="28"/>
      <c r="T19" s="28"/>
      <c r="U19" s="28"/>
      <c r="V19" s="28"/>
      <c r="W19" s="28"/>
      <c r="X19" s="187"/>
      <c r="AH19" s="249"/>
    </row>
    <row r="20" spans="2:34" ht="12" customHeight="1">
      <c r="B20" s="7"/>
      <c r="C20" s="17">
        <v>13</v>
      </c>
      <c r="D20" s="18"/>
      <c r="E20" s="19"/>
      <c r="F20" s="10"/>
      <c r="H20" s="7"/>
      <c r="I20" s="408"/>
      <c r="J20" s="409"/>
      <c r="K20" s="409"/>
      <c r="L20" s="409"/>
      <c r="M20" s="409"/>
      <c r="N20" s="409"/>
      <c r="O20" s="409"/>
      <c r="P20" s="410"/>
      <c r="Q20" s="28"/>
      <c r="R20" s="28"/>
      <c r="S20" s="28"/>
      <c r="T20" s="28"/>
      <c r="U20" s="28"/>
      <c r="V20" s="28"/>
      <c r="W20" s="28"/>
      <c r="X20" s="187"/>
      <c r="AH20" s="249"/>
    </row>
    <row r="21" spans="2:34" ht="12" customHeight="1">
      <c r="B21" s="7"/>
      <c r="C21" s="17">
        <v>14</v>
      </c>
      <c r="D21" s="18"/>
      <c r="E21" s="19"/>
      <c r="F21" s="10"/>
      <c r="H21" s="7"/>
      <c r="I21" s="28"/>
      <c r="J21" s="28"/>
      <c r="K21" s="28"/>
      <c r="L21" s="28"/>
      <c r="M21" s="28"/>
      <c r="N21" s="28"/>
      <c r="O21" s="28"/>
      <c r="P21" s="28"/>
      <c r="Q21" s="28"/>
      <c r="R21" s="28"/>
      <c r="S21" s="28"/>
      <c r="T21" s="28"/>
      <c r="U21" s="28"/>
      <c r="V21" s="28"/>
      <c r="W21" s="28"/>
      <c r="X21" s="187"/>
      <c r="AH21" s="249"/>
    </row>
    <row r="22" spans="2:34" ht="12" customHeight="1">
      <c r="B22" s="7"/>
      <c r="C22" s="17">
        <v>15</v>
      </c>
      <c r="D22" s="18"/>
      <c r="E22" s="19"/>
      <c r="F22" s="10"/>
      <c r="H22" s="7"/>
      <c r="I22" s="28" t="s">
        <v>190</v>
      </c>
      <c r="J22" s="28"/>
      <c r="K22" s="28"/>
      <c r="L22" s="28"/>
      <c r="M22" s="28"/>
      <c r="N22" s="28"/>
      <c r="O22" s="28"/>
      <c r="P22" s="28"/>
      <c r="Q22" s="30" t="s">
        <v>193</v>
      </c>
      <c r="R22" s="28"/>
      <c r="S22" s="28" t="s">
        <v>191</v>
      </c>
      <c r="T22" s="28"/>
      <c r="U22" s="30">
        <v>1</v>
      </c>
      <c r="V22" s="28"/>
      <c r="W22" s="28"/>
      <c r="X22" s="187"/>
      <c r="AH22" s="243" t="s">
        <v>192</v>
      </c>
    </row>
    <row r="23" spans="2:34" ht="12" customHeight="1">
      <c r="B23" s="7"/>
      <c r="C23" s="17">
        <v>16</v>
      </c>
      <c r="D23" s="18"/>
      <c r="E23" s="19"/>
      <c r="F23" s="10"/>
      <c r="H23" s="7"/>
      <c r="I23" s="28"/>
      <c r="J23" s="28"/>
      <c r="K23" s="28"/>
      <c r="L23" s="28"/>
      <c r="M23" s="28"/>
      <c r="N23" s="28"/>
      <c r="O23" s="28"/>
      <c r="P23" s="28"/>
      <c r="Q23" s="193"/>
      <c r="R23" s="28"/>
      <c r="S23" s="28"/>
      <c r="T23" s="28"/>
      <c r="U23" s="193"/>
      <c r="V23" s="28"/>
      <c r="W23" s="28"/>
      <c r="X23" s="187"/>
      <c r="AH23" s="243" t="s">
        <v>193</v>
      </c>
    </row>
    <row r="24" spans="2:34" ht="12" customHeight="1">
      <c r="B24" s="7"/>
      <c r="C24" s="17">
        <v>17</v>
      </c>
      <c r="D24" s="18"/>
      <c r="E24" s="19"/>
      <c r="F24" s="10"/>
      <c r="H24" s="7"/>
      <c r="I24" s="28" t="s">
        <v>124</v>
      </c>
      <c r="J24" s="28"/>
      <c r="K24" s="28"/>
      <c r="L24" s="28"/>
      <c r="M24" s="28"/>
      <c r="N24" s="28"/>
      <c r="O24" s="28"/>
      <c r="P24" s="28"/>
      <c r="Q24" s="193"/>
      <c r="R24" s="28"/>
      <c r="S24" s="28"/>
      <c r="T24" s="28"/>
      <c r="U24" s="30" t="s">
        <v>123</v>
      </c>
      <c r="V24" s="28"/>
      <c r="W24" s="28"/>
      <c r="X24" s="187"/>
      <c r="AH24" s="243" t="s">
        <v>122</v>
      </c>
    </row>
    <row r="25" spans="2:34" ht="12" customHeight="1">
      <c r="B25" s="7"/>
      <c r="C25" s="17">
        <v>18</v>
      </c>
      <c r="D25" s="18"/>
      <c r="E25" s="19"/>
      <c r="F25" s="10"/>
      <c r="H25" s="7"/>
      <c r="I25" s="28"/>
      <c r="J25" s="28"/>
      <c r="K25" s="28"/>
      <c r="L25" s="28"/>
      <c r="M25" s="28"/>
      <c r="N25" s="28"/>
      <c r="O25" s="28"/>
      <c r="P25" s="28"/>
      <c r="Q25" s="28"/>
      <c r="R25" s="28"/>
      <c r="S25" s="28"/>
      <c r="T25" s="28"/>
      <c r="U25" s="28"/>
      <c r="V25" s="28"/>
      <c r="W25" s="28"/>
      <c r="X25" s="187"/>
      <c r="AH25" s="182" t="s">
        <v>123</v>
      </c>
    </row>
    <row r="26" spans="2:34" ht="12" customHeight="1">
      <c r="B26" s="7"/>
      <c r="C26" s="17">
        <v>19</v>
      </c>
      <c r="D26" s="18"/>
      <c r="E26" s="19"/>
      <c r="F26" s="10"/>
      <c r="H26" s="7"/>
      <c r="I26" s="405" t="str">
        <f>IF(U24="нет","Период нетрудоспособности","Первый период нетрудоспособности")</f>
        <v>Период нетрудоспособности</v>
      </c>
      <c r="J26" s="405"/>
      <c r="K26" s="405"/>
      <c r="L26" s="405"/>
      <c r="M26" s="405"/>
      <c r="N26" s="405"/>
      <c r="O26" s="405"/>
      <c r="P26" s="405"/>
      <c r="Q26" s="405"/>
      <c r="R26" s="405"/>
      <c r="S26" s="405"/>
      <c r="T26" s="31">
        <v>44109</v>
      </c>
      <c r="U26" s="193" t="s">
        <v>184</v>
      </c>
      <c r="V26" s="31">
        <v>44234</v>
      </c>
      <c r="W26" s="28"/>
      <c r="X26" s="187"/>
      <c r="AH26" s="243"/>
    </row>
    <row r="27" spans="2:34" ht="12" customHeight="1">
      <c r="B27" s="7"/>
      <c r="C27" s="17">
        <v>20</v>
      </c>
      <c r="D27" s="18"/>
      <c r="E27" s="19"/>
      <c r="F27" s="10"/>
      <c r="H27" s="7"/>
      <c r="I27" s="28"/>
      <c r="J27" s="28"/>
      <c r="K27" s="28"/>
      <c r="L27" s="28"/>
      <c r="M27" s="28"/>
      <c r="N27" s="28"/>
      <c r="O27" s="28"/>
      <c r="P27" s="28"/>
      <c r="Q27" s="28"/>
      <c r="R27" s="28"/>
      <c r="S27" s="28"/>
      <c r="T27" s="28"/>
      <c r="U27" s="28"/>
      <c r="V27" s="28"/>
      <c r="W27" s="28"/>
      <c r="X27" s="187"/>
      <c r="AH27" s="182" t="s">
        <v>121</v>
      </c>
    </row>
    <row r="28" spans="2:34" ht="12" customHeight="1">
      <c r="B28" s="7"/>
      <c r="C28" s="17">
        <v>21</v>
      </c>
      <c r="D28" s="18"/>
      <c r="E28" s="19"/>
      <c r="F28" s="10"/>
      <c r="H28" s="7"/>
      <c r="I28" s="405" t="s">
        <v>287</v>
      </c>
      <c r="J28" s="405"/>
      <c r="K28" s="405"/>
      <c r="L28" s="405"/>
      <c r="M28" s="405"/>
      <c r="N28" s="405"/>
      <c r="O28" s="405"/>
      <c r="P28" s="405"/>
      <c r="Q28" s="405"/>
      <c r="R28" s="28"/>
      <c r="S28" s="28"/>
      <c r="T28" s="31"/>
      <c r="U28" s="28"/>
      <c r="V28" s="199">
        <f>IF($U$24="да",T30-1,"")</f>
      </c>
      <c r="W28" s="28"/>
      <c r="X28" s="187"/>
      <c r="AH28" s="182" t="s">
        <v>143</v>
      </c>
    </row>
    <row r="29" spans="2:34" ht="12" customHeight="1">
      <c r="B29" s="7"/>
      <c r="C29" s="17">
        <v>22</v>
      </c>
      <c r="D29" s="18"/>
      <c r="E29" s="19"/>
      <c r="F29" s="10"/>
      <c r="H29" s="7"/>
      <c r="I29" s="28"/>
      <c r="J29" s="28"/>
      <c r="K29" s="28"/>
      <c r="L29" s="28"/>
      <c r="M29" s="28"/>
      <c r="N29" s="28"/>
      <c r="O29" s="28"/>
      <c r="P29" s="28"/>
      <c r="Q29" s="28"/>
      <c r="R29" s="28"/>
      <c r="S29" s="28"/>
      <c r="T29" s="28"/>
      <c r="U29" s="28"/>
      <c r="V29" s="28"/>
      <c r="W29" s="28"/>
      <c r="X29" s="187"/>
      <c r="AH29" s="182" t="s">
        <v>144</v>
      </c>
    </row>
    <row r="30" spans="2:34" ht="12" customHeight="1">
      <c r="B30" s="7"/>
      <c r="C30" s="17">
        <v>23</v>
      </c>
      <c r="D30" s="18"/>
      <c r="E30" s="19"/>
      <c r="F30" s="10"/>
      <c r="H30" s="7"/>
      <c r="I30" s="28">
        <f>IF(U24="да","Период нетрудоспособности","")</f>
      </c>
      <c r="J30" s="28"/>
      <c r="K30" s="28"/>
      <c r="L30" s="28"/>
      <c r="M30" s="28"/>
      <c r="N30" s="28"/>
      <c r="O30" s="28"/>
      <c r="P30" s="28"/>
      <c r="Q30" s="28"/>
      <c r="R30" s="28"/>
      <c r="S30" s="28"/>
      <c r="T30" s="32">
        <f>IF($U$24="да",$T$26,"")</f>
      </c>
      <c r="U30" s="193" t="s">
        <v>184</v>
      </c>
      <c r="V30" s="32">
        <f>IF($U$24="да",$V$26,"")</f>
      </c>
      <c r="W30" s="28"/>
      <c r="X30" s="187"/>
      <c r="AH30" s="182" t="s">
        <v>145</v>
      </c>
    </row>
    <row r="31" spans="2:34" ht="12" customHeight="1">
      <c r="B31" s="7"/>
      <c r="C31" s="17">
        <v>24</v>
      </c>
      <c r="D31" s="18"/>
      <c r="E31" s="19"/>
      <c r="F31" s="10"/>
      <c r="H31" s="7"/>
      <c r="I31" s="28"/>
      <c r="J31" s="28"/>
      <c r="K31" s="28"/>
      <c r="L31" s="28"/>
      <c r="M31" s="28"/>
      <c r="N31" s="28"/>
      <c r="O31" s="28"/>
      <c r="P31" s="28"/>
      <c r="Q31" s="28"/>
      <c r="R31" s="28"/>
      <c r="S31" s="28"/>
      <c r="T31" s="28"/>
      <c r="U31" s="28"/>
      <c r="V31" s="28"/>
      <c r="W31" s="28"/>
      <c r="X31" s="187"/>
      <c r="AH31" s="243"/>
    </row>
    <row r="32" spans="2:34" ht="12" customHeight="1">
      <c r="B32" s="7"/>
      <c r="C32" s="17">
        <v>25</v>
      </c>
      <c r="D32" s="18"/>
      <c r="E32" s="19"/>
      <c r="F32" s="10"/>
      <c r="H32" s="7"/>
      <c r="I32" s="28"/>
      <c r="J32" s="28"/>
      <c r="K32" s="28"/>
      <c r="L32" s="28"/>
      <c r="M32" s="28"/>
      <c r="N32" s="28"/>
      <c r="O32" s="28"/>
      <c r="P32" s="28"/>
      <c r="Q32" s="28"/>
      <c r="R32" s="28"/>
      <c r="S32" s="28"/>
      <c r="T32" s="28"/>
      <c r="U32" s="28"/>
      <c r="V32" s="28"/>
      <c r="W32" s="28"/>
      <c r="X32" s="187"/>
      <c r="AH32" s="243"/>
    </row>
    <row r="33" spans="2:34" ht="12" customHeight="1">
      <c r="B33" s="7"/>
      <c r="C33" s="17">
        <v>26</v>
      </c>
      <c r="D33" s="18"/>
      <c r="E33" s="19"/>
      <c r="F33" s="10"/>
      <c r="H33" s="7"/>
      <c r="I33" s="28"/>
      <c r="J33" s="28"/>
      <c r="K33" s="28"/>
      <c r="L33" s="28"/>
      <c r="M33" s="28"/>
      <c r="N33" s="28"/>
      <c r="O33" s="28"/>
      <c r="P33" s="28"/>
      <c r="Q33" s="28"/>
      <c r="R33" s="28"/>
      <c r="S33" s="28"/>
      <c r="T33" s="28"/>
      <c r="U33" s="28"/>
      <c r="V33" s="28"/>
      <c r="W33" s="28"/>
      <c r="X33" s="187"/>
      <c r="AH33" s="243"/>
    </row>
    <row r="34" spans="2:24" ht="12" customHeight="1">
      <c r="B34" s="7"/>
      <c r="C34" s="17">
        <v>27</v>
      </c>
      <c r="D34" s="18"/>
      <c r="E34" s="19"/>
      <c r="F34" s="10"/>
      <c r="H34" s="7"/>
      <c r="I34" s="28"/>
      <c r="J34" s="28"/>
      <c r="K34" s="28"/>
      <c r="L34" s="28"/>
      <c r="M34" s="28"/>
      <c r="N34" s="28"/>
      <c r="O34" s="28"/>
      <c r="P34" s="28"/>
      <c r="Q34" s="28"/>
      <c r="R34" s="28"/>
      <c r="S34" s="28"/>
      <c r="T34" s="28"/>
      <c r="U34" s="28"/>
      <c r="V34" s="28"/>
      <c r="W34" s="28"/>
      <c r="X34" s="187"/>
    </row>
    <row r="35" spans="2:24" ht="12" customHeight="1">
      <c r="B35" s="7"/>
      <c r="C35" s="17">
        <v>28</v>
      </c>
      <c r="D35" s="18"/>
      <c r="E35" s="19"/>
      <c r="F35" s="10"/>
      <c r="H35" s="7"/>
      <c r="I35" s="28"/>
      <c r="J35" s="28"/>
      <c r="K35" s="28"/>
      <c r="L35" s="28"/>
      <c r="M35" s="28"/>
      <c r="N35" s="28"/>
      <c r="O35" s="28"/>
      <c r="P35" s="28"/>
      <c r="Q35" s="28"/>
      <c r="R35" s="28"/>
      <c r="S35" s="28"/>
      <c r="T35" s="28"/>
      <c r="U35" s="28"/>
      <c r="V35" s="28"/>
      <c r="W35" s="28"/>
      <c r="X35" s="187"/>
    </row>
    <row r="36" spans="2:42" ht="12" customHeight="1">
      <c r="B36" s="7"/>
      <c r="C36" s="17">
        <v>29</v>
      </c>
      <c r="D36" s="18"/>
      <c r="E36" s="19"/>
      <c r="F36" s="10"/>
      <c r="H36" s="7"/>
      <c r="I36" s="28"/>
      <c r="J36" s="28"/>
      <c r="K36" s="28"/>
      <c r="L36" s="28"/>
      <c r="M36" s="28"/>
      <c r="N36" s="28"/>
      <c r="O36" s="28"/>
      <c r="P36" s="28"/>
      <c r="Q36" s="28"/>
      <c r="R36" s="28"/>
      <c r="S36" s="28"/>
      <c r="T36" s="28"/>
      <c r="U36" s="28"/>
      <c r="V36" s="28"/>
      <c r="W36" s="28"/>
      <c r="X36" s="187"/>
      <c r="AH36" s="255"/>
      <c r="AI36" s="255"/>
      <c r="AJ36" s="255"/>
      <c r="AK36" s="255"/>
      <c r="AL36" s="256" t="s">
        <v>125</v>
      </c>
      <c r="AM36" s="255"/>
      <c r="AN36" s="255"/>
      <c r="AO36" s="255"/>
      <c r="AP36" s="255"/>
    </row>
    <row r="37" spans="2:42" ht="12" customHeight="1" thickBot="1">
      <c r="B37" s="7"/>
      <c r="C37" s="17">
        <v>30</v>
      </c>
      <c r="D37" s="18"/>
      <c r="E37" s="19"/>
      <c r="F37" s="10"/>
      <c r="H37" s="22"/>
      <c r="I37" s="23"/>
      <c r="J37" s="23"/>
      <c r="K37" s="23"/>
      <c r="L37" s="23"/>
      <c r="M37" s="23"/>
      <c r="N37" s="23"/>
      <c r="O37" s="23"/>
      <c r="P37" s="23"/>
      <c r="Q37" s="23"/>
      <c r="R37" s="23"/>
      <c r="S37" s="23"/>
      <c r="T37" s="23"/>
      <c r="U37" s="23"/>
      <c r="V37" s="23"/>
      <c r="W37" s="23"/>
      <c r="X37" s="188"/>
      <c r="Z37" s="257" t="s">
        <v>127</v>
      </c>
      <c r="AA37" s="258">
        <f>календарь!$J$7</f>
        <v>27</v>
      </c>
      <c r="AH37" s="259"/>
      <c r="AI37" s="260"/>
      <c r="AJ37" s="260"/>
      <c r="AK37" s="260"/>
      <c r="AL37" s="260"/>
      <c r="AM37" s="255"/>
      <c r="AN37" s="255"/>
      <c r="AO37" s="255"/>
      <c r="AP37" s="255"/>
    </row>
    <row r="38" spans="2:42" ht="12" customHeight="1">
      <c r="B38" s="7"/>
      <c r="C38" s="17">
        <v>31</v>
      </c>
      <c r="D38" s="18"/>
      <c r="E38" s="19"/>
      <c r="F38" s="10"/>
      <c r="Z38" s="257" t="s">
        <v>128</v>
      </c>
      <c r="AA38" s="258">
        <f>календарь!$L$7</f>
        <v>30</v>
      </c>
      <c r="AI38" s="255"/>
      <c r="AJ38" s="255"/>
      <c r="AK38" s="255"/>
      <c r="AL38" s="257"/>
      <c r="AN38" s="261"/>
      <c r="AO38" s="255"/>
      <c r="AP38" s="255"/>
    </row>
    <row r="39" spans="2:42" ht="12" customHeight="1">
      <c r="B39" s="7"/>
      <c r="C39" s="17">
        <v>32</v>
      </c>
      <c r="D39" s="18"/>
      <c r="E39" s="19"/>
      <c r="F39" s="10"/>
      <c r="Z39" s="257" t="s">
        <v>129</v>
      </c>
      <c r="AA39" s="261">
        <f>календарь!$N$7</f>
        <v>31</v>
      </c>
      <c r="AH39" s="255"/>
      <c r="AI39" s="255"/>
      <c r="AJ39" s="255"/>
      <c r="AK39" s="255"/>
      <c r="AL39" s="262"/>
      <c r="AM39" s="255"/>
      <c r="AN39" s="255"/>
      <c r="AO39" s="255"/>
      <c r="AP39" s="255"/>
    </row>
    <row r="40" spans="2:42" ht="12" customHeight="1">
      <c r="B40" s="7"/>
      <c r="C40" s="17">
        <v>33</v>
      </c>
      <c r="D40" s="18"/>
      <c r="E40" s="19"/>
      <c r="F40" s="10"/>
      <c r="Z40" s="257" t="s">
        <v>197</v>
      </c>
      <c r="AA40" s="261">
        <f>календарь!$P$7</f>
        <v>31</v>
      </c>
      <c r="AH40" s="255"/>
      <c r="AI40" s="255"/>
      <c r="AJ40" s="255"/>
      <c r="AK40" s="255"/>
      <c r="AL40" s="262"/>
      <c r="AM40" s="255"/>
      <c r="AN40" s="255"/>
      <c r="AO40" s="255"/>
      <c r="AP40" s="255"/>
    </row>
    <row r="41" spans="2:42" ht="12" customHeight="1">
      <c r="B41" s="7"/>
      <c r="C41" s="17">
        <v>34</v>
      </c>
      <c r="D41" s="18"/>
      <c r="E41" s="19"/>
      <c r="F41" s="10"/>
      <c r="Z41" s="257" t="s">
        <v>198</v>
      </c>
      <c r="AA41" s="261">
        <f>календарь!$R$7</f>
        <v>7</v>
      </c>
      <c r="AI41" s="255"/>
      <c r="AJ41" s="255"/>
      <c r="AK41" s="255"/>
      <c r="AL41" s="262"/>
      <c r="AN41" s="261"/>
      <c r="AO41" s="255"/>
      <c r="AP41" s="255"/>
    </row>
    <row r="42" spans="2:42" ht="12" customHeight="1">
      <c r="B42" s="7"/>
      <c r="C42" s="17">
        <v>35</v>
      </c>
      <c r="D42" s="18"/>
      <c r="E42" s="19"/>
      <c r="F42" s="10"/>
      <c r="Z42" s="257" t="s">
        <v>199</v>
      </c>
      <c r="AA42" s="261">
        <f>календарь!$T$7</f>
        <v>0</v>
      </c>
      <c r="AH42" s="255"/>
      <c r="AI42" s="255"/>
      <c r="AJ42" s="255"/>
      <c r="AK42" s="255"/>
      <c r="AL42" s="262"/>
      <c r="AM42" s="255"/>
      <c r="AN42" s="255"/>
      <c r="AO42" s="255"/>
      <c r="AP42" s="255"/>
    </row>
    <row r="43" spans="2:42" ht="12" customHeight="1">
      <c r="B43" s="7"/>
      <c r="C43" s="17">
        <v>36</v>
      </c>
      <c r="D43" s="18"/>
      <c r="E43" s="19"/>
      <c r="F43" s="10"/>
      <c r="AH43" s="255"/>
      <c r="AI43" s="255"/>
      <c r="AJ43" s="255"/>
      <c r="AK43" s="255"/>
      <c r="AL43" s="262"/>
      <c r="AM43" s="255"/>
      <c r="AN43" s="255"/>
      <c r="AO43" s="261"/>
      <c r="AP43" s="255"/>
    </row>
    <row r="44" spans="2:42" ht="12" customHeight="1">
      <c r="B44" s="7"/>
      <c r="C44" s="17">
        <v>37</v>
      </c>
      <c r="D44" s="18"/>
      <c r="E44" s="19"/>
      <c r="F44" s="10"/>
      <c r="Z44" s="257" t="s">
        <v>127</v>
      </c>
      <c r="AA44" s="258">
        <f>календарь!$J$12</f>
        <v>1</v>
      </c>
      <c r="AI44" s="255"/>
      <c r="AJ44" s="255"/>
      <c r="AK44" s="255"/>
      <c r="AL44" s="262"/>
      <c r="AM44" s="258"/>
      <c r="AN44" s="255"/>
      <c r="AO44" s="255"/>
      <c r="AP44" s="255"/>
    </row>
    <row r="45" spans="2:42" ht="12" customHeight="1">
      <c r="B45" s="7"/>
      <c r="C45" s="17">
        <v>38</v>
      </c>
      <c r="D45" s="18"/>
      <c r="E45" s="19"/>
      <c r="F45" s="10"/>
      <c r="Z45" s="257" t="s">
        <v>128</v>
      </c>
      <c r="AA45" s="258">
        <f>календарь!$L$12</f>
        <v>0</v>
      </c>
      <c r="AH45" s="255"/>
      <c r="AI45" s="255"/>
      <c r="AJ45" s="255"/>
      <c r="AK45" s="255"/>
      <c r="AL45" s="262"/>
      <c r="AN45" s="255"/>
      <c r="AO45" s="255"/>
      <c r="AP45" s="255"/>
    </row>
    <row r="46" spans="2:42" ht="12" customHeight="1">
      <c r="B46" s="7"/>
      <c r="C46" s="17">
        <v>39</v>
      </c>
      <c r="D46" s="18"/>
      <c r="E46" s="19"/>
      <c r="F46" s="10"/>
      <c r="Z46" s="257" t="s">
        <v>129</v>
      </c>
      <c r="AA46" s="261">
        <f>календарь!$N$12</f>
        <v>0</v>
      </c>
      <c r="AH46" s="255"/>
      <c r="AI46" s="255"/>
      <c r="AJ46" s="255"/>
      <c r="AK46" s="255"/>
      <c r="AL46" s="255"/>
      <c r="AM46" s="255"/>
      <c r="AN46" s="255"/>
      <c r="AO46" s="255"/>
      <c r="AP46" s="255"/>
    </row>
    <row r="47" spans="2:42" ht="12" customHeight="1">
      <c r="B47" s="7"/>
      <c r="C47" s="17">
        <v>40</v>
      </c>
      <c r="D47" s="18"/>
      <c r="E47" s="19"/>
      <c r="F47" s="10"/>
      <c r="Z47" s="257" t="s">
        <v>197</v>
      </c>
      <c r="AA47" s="261">
        <f>календарь!$P$12</f>
        <v>0</v>
      </c>
      <c r="AH47" s="255"/>
      <c r="AI47" s="255"/>
      <c r="AJ47" s="255"/>
      <c r="AK47" s="255"/>
      <c r="AL47" s="256"/>
      <c r="AM47" s="255"/>
      <c r="AN47" s="255"/>
      <c r="AO47" s="255"/>
      <c r="AP47" s="255"/>
    </row>
    <row r="48" spans="2:42" ht="12" customHeight="1">
      <c r="B48" s="7"/>
      <c r="C48" s="17">
        <v>41</v>
      </c>
      <c r="D48" s="18"/>
      <c r="E48" s="19"/>
      <c r="F48" s="10"/>
      <c r="Z48" s="257" t="s">
        <v>198</v>
      </c>
      <c r="AA48" s="261">
        <f>календарь!$R$12</f>
        <v>0</v>
      </c>
      <c r="AH48" s="259"/>
      <c r="AI48" s="260"/>
      <c r="AJ48" s="260"/>
      <c r="AK48" s="260"/>
      <c r="AL48" s="260"/>
      <c r="AM48" s="255"/>
      <c r="AN48" s="255"/>
      <c r="AO48" s="255"/>
      <c r="AP48" s="255"/>
    </row>
    <row r="49" spans="2:42" ht="12" customHeight="1">
      <c r="B49" s="7"/>
      <c r="C49" s="17">
        <v>42</v>
      </c>
      <c r="D49" s="18"/>
      <c r="E49" s="19"/>
      <c r="F49" s="10"/>
      <c r="Z49" s="257" t="s">
        <v>199</v>
      </c>
      <c r="AA49" s="261">
        <f>календарь!$T$12</f>
        <v>0</v>
      </c>
      <c r="AH49" s="257"/>
      <c r="AI49" s="255"/>
      <c r="AJ49" s="255"/>
      <c r="AK49" s="255"/>
      <c r="AL49" s="257"/>
      <c r="AN49" s="261"/>
      <c r="AO49" s="258"/>
      <c r="AP49" s="255"/>
    </row>
    <row r="50" spans="2:42" ht="12" customHeight="1">
      <c r="B50" s="7"/>
      <c r="C50" s="17">
        <v>43</v>
      </c>
      <c r="D50" s="18"/>
      <c r="E50" s="19"/>
      <c r="F50" s="10"/>
      <c r="AH50" s="255"/>
      <c r="AI50" s="255"/>
      <c r="AJ50" s="255"/>
      <c r="AK50" s="255"/>
      <c r="AL50" s="262"/>
      <c r="AM50" s="255"/>
      <c r="AN50" s="255"/>
      <c r="AO50" s="255"/>
      <c r="AP50" s="255"/>
    </row>
    <row r="51" spans="2:42" ht="12" customHeight="1">
      <c r="B51" s="7"/>
      <c r="C51" s="17">
        <v>44</v>
      </c>
      <c r="D51" s="18"/>
      <c r="E51" s="19"/>
      <c r="F51" s="10"/>
      <c r="AH51" s="255"/>
      <c r="AI51" s="255"/>
      <c r="AJ51" s="255"/>
      <c r="AK51" s="255"/>
      <c r="AL51" s="262"/>
      <c r="AM51" s="255"/>
      <c r="AN51" s="261"/>
      <c r="AO51" s="255"/>
      <c r="AP51" s="255"/>
    </row>
    <row r="52" spans="2:42" ht="12" customHeight="1">
      <c r="B52" s="7"/>
      <c r="C52" s="17">
        <v>45</v>
      </c>
      <c r="D52" s="18"/>
      <c r="E52" s="19"/>
      <c r="F52" s="10"/>
      <c r="AH52" s="257"/>
      <c r="AI52" s="255"/>
      <c r="AJ52" s="255"/>
      <c r="AK52" s="255"/>
      <c r="AL52" s="262"/>
      <c r="AN52" s="261"/>
      <c r="AO52" s="255"/>
      <c r="AP52" s="255"/>
    </row>
    <row r="53" spans="2:42" ht="12" customHeight="1">
      <c r="B53" s="7"/>
      <c r="C53" s="17">
        <v>46</v>
      </c>
      <c r="D53" s="18"/>
      <c r="E53" s="19"/>
      <c r="F53" s="10"/>
      <c r="AH53" s="255"/>
      <c r="AI53" s="255"/>
      <c r="AJ53" s="255"/>
      <c r="AK53" s="255"/>
      <c r="AL53" s="262"/>
      <c r="AM53" s="255"/>
      <c r="AN53" s="255"/>
      <c r="AO53" s="255"/>
      <c r="AP53" s="255"/>
    </row>
    <row r="54" spans="2:42" ht="12" customHeight="1">
      <c r="B54" s="7"/>
      <c r="C54" s="17">
        <v>47</v>
      </c>
      <c r="D54" s="18"/>
      <c r="E54" s="19"/>
      <c r="F54" s="10"/>
      <c r="AH54" s="255"/>
      <c r="AI54" s="255"/>
      <c r="AJ54" s="255"/>
      <c r="AK54" s="255"/>
      <c r="AL54" s="262"/>
      <c r="AM54" s="255"/>
      <c r="AN54" s="255"/>
      <c r="AO54" s="255"/>
      <c r="AP54" s="255"/>
    </row>
    <row r="55" spans="2:42" ht="12" customHeight="1">
      <c r="B55" s="7"/>
      <c r="C55" s="17">
        <v>48</v>
      </c>
      <c r="D55" s="18"/>
      <c r="E55" s="19"/>
      <c r="F55" s="10"/>
      <c r="AH55" s="257"/>
      <c r="AI55" s="255"/>
      <c r="AJ55" s="255"/>
      <c r="AK55" s="255"/>
      <c r="AL55" s="262"/>
      <c r="AM55" s="258"/>
      <c r="AN55" s="255"/>
      <c r="AO55" s="255"/>
      <c r="AP55" s="255"/>
    </row>
    <row r="56" spans="2:42" ht="12" customHeight="1">
      <c r="B56" s="7"/>
      <c r="C56" s="17">
        <v>49</v>
      </c>
      <c r="D56" s="18"/>
      <c r="E56" s="19"/>
      <c r="F56" s="10"/>
      <c r="AH56" s="255"/>
      <c r="AI56" s="255"/>
      <c r="AJ56" s="255"/>
      <c r="AK56" s="255"/>
      <c r="AL56" s="262"/>
      <c r="AN56" s="255"/>
      <c r="AO56" s="255"/>
      <c r="AP56" s="255"/>
    </row>
    <row r="57" spans="2:6" ht="12" customHeight="1">
      <c r="B57" s="7"/>
      <c r="C57" s="17">
        <v>50</v>
      </c>
      <c r="D57" s="18"/>
      <c r="E57" s="19"/>
      <c r="F57" s="10"/>
    </row>
    <row r="58" spans="2:6" ht="12" customHeight="1">
      <c r="B58" s="7"/>
      <c r="C58" s="17">
        <v>51</v>
      </c>
      <c r="D58" s="18"/>
      <c r="E58" s="19"/>
      <c r="F58" s="10"/>
    </row>
    <row r="59" spans="2:6" ht="12" customHeight="1">
      <c r="B59" s="7"/>
      <c r="C59" s="17">
        <v>52</v>
      </c>
      <c r="D59" s="18"/>
      <c r="E59" s="19"/>
      <c r="F59" s="10"/>
    </row>
    <row r="60" spans="2:6" ht="12" customHeight="1">
      <c r="B60" s="7"/>
      <c r="C60" s="17">
        <v>53</v>
      </c>
      <c r="D60" s="18"/>
      <c r="E60" s="19"/>
      <c r="F60" s="10"/>
    </row>
    <row r="61" spans="2:6" ht="12" customHeight="1">
      <c r="B61" s="7"/>
      <c r="C61" s="17">
        <v>54</v>
      </c>
      <c r="D61" s="18"/>
      <c r="E61" s="19"/>
      <c r="F61" s="10"/>
    </row>
    <row r="62" spans="2:6" ht="12" customHeight="1">
      <c r="B62" s="7"/>
      <c r="C62" s="17">
        <v>55</v>
      </c>
      <c r="D62" s="18"/>
      <c r="E62" s="19"/>
      <c r="F62" s="10"/>
    </row>
    <row r="63" spans="2:6" ht="12" customHeight="1">
      <c r="B63" s="7"/>
      <c r="C63" s="17">
        <v>56</v>
      </c>
      <c r="D63" s="18"/>
      <c r="E63" s="19"/>
      <c r="F63" s="10"/>
    </row>
    <row r="64" spans="2:6" ht="12" customHeight="1">
      <c r="B64" s="7"/>
      <c r="C64" s="17">
        <v>57</v>
      </c>
      <c r="D64" s="18"/>
      <c r="E64" s="19"/>
      <c r="F64" s="10"/>
    </row>
    <row r="65" spans="2:6" ht="12" customHeight="1">
      <c r="B65" s="7"/>
      <c r="C65" s="17">
        <v>58</v>
      </c>
      <c r="D65" s="18"/>
      <c r="E65" s="19"/>
      <c r="F65" s="10"/>
    </row>
    <row r="66" spans="2:6" ht="12" customHeight="1">
      <c r="B66" s="7"/>
      <c r="C66" s="17">
        <v>59</v>
      </c>
      <c r="D66" s="18"/>
      <c r="E66" s="19"/>
      <c r="F66" s="10"/>
    </row>
    <row r="67" spans="2:6" ht="12" customHeight="1">
      <c r="B67" s="7"/>
      <c r="C67" s="17">
        <v>60</v>
      </c>
      <c r="D67" s="18"/>
      <c r="E67" s="19"/>
      <c r="F67" s="10"/>
    </row>
    <row r="68" spans="2:6" ht="12" customHeight="1">
      <c r="B68" s="7"/>
      <c r="C68" s="17">
        <v>61</v>
      </c>
      <c r="D68" s="18"/>
      <c r="E68" s="19"/>
      <c r="F68" s="10"/>
    </row>
    <row r="69" spans="2:6" ht="12" customHeight="1">
      <c r="B69" s="7"/>
      <c r="C69" s="17">
        <v>62</v>
      </c>
      <c r="D69" s="18"/>
      <c r="E69" s="19"/>
      <c r="F69" s="10"/>
    </row>
    <row r="70" spans="2:6" ht="12" customHeight="1">
      <c r="B70" s="7"/>
      <c r="C70" s="17">
        <v>63</v>
      </c>
      <c r="D70" s="18"/>
      <c r="E70" s="19"/>
      <c r="F70" s="10"/>
    </row>
    <row r="71" spans="2:6" ht="12" customHeight="1">
      <c r="B71" s="7"/>
      <c r="C71" s="17">
        <v>64</v>
      </c>
      <c r="D71" s="18"/>
      <c r="E71" s="19"/>
      <c r="F71" s="10"/>
    </row>
    <row r="72" spans="2:6" ht="12" customHeight="1">
      <c r="B72" s="7"/>
      <c r="C72" s="17">
        <v>65</v>
      </c>
      <c r="D72" s="18"/>
      <c r="E72" s="19"/>
      <c r="F72" s="10"/>
    </row>
    <row r="73" spans="2:6" ht="12" customHeight="1">
      <c r="B73" s="7"/>
      <c r="C73" s="17">
        <v>66</v>
      </c>
      <c r="D73" s="18"/>
      <c r="E73" s="19"/>
      <c r="F73" s="10"/>
    </row>
    <row r="74" spans="2:6" ht="12" customHeight="1">
      <c r="B74" s="7"/>
      <c r="C74" s="17">
        <v>67</v>
      </c>
      <c r="D74" s="18"/>
      <c r="E74" s="19"/>
      <c r="F74" s="10"/>
    </row>
    <row r="75" spans="2:6" ht="12" customHeight="1">
      <c r="B75" s="7"/>
      <c r="C75" s="17">
        <v>68</v>
      </c>
      <c r="D75" s="18"/>
      <c r="E75" s="19"/>
      <c r="F75" s="10"/>
    </row>
    <row r="76" spans="2:6" ht="12" customHeight="1">
      <c r="B76" s="7"/>
      <c r="C76" s="17">
        <v>69</v>
      </c>
      <c r="D76" s="18"/>
      <c r="E76" s="19"/>
      <c r="F76" s="10"/>
    </row>
    <row r="77" spans="2:6" ht="12" customHeight="1">
      <c r="B77" s="7"/>
      <c r="C77" s="17">
        <v>70</v>
      </c>
      <c r="D77" s="18"/>
      <c r="E77" s="19"/>
      <c r="F77" s="10"/>
    </row>
    <row r="78" spans="2:6" ht="12" customHeight="1">
      <c r="B78" s="7"/>
      <c r="C78" s="17">
        <v>71</v>
      </c>
      <c r="D78" s="18"/>
      <c r="E78" s="19"/>
      <c r="F78" s="10"/>
    </row>
    <row r="79" spans="2:6" ht="12" customHeight="1">
      <c r="B79" s="7"/>
      <c r="C79" s="17">
        <v>72</v>
      </c>
      <c r="D79" s="18"/>
      <c r="E79" s="19"/>
      <c r="F79" s="10"/>
    </row>
    <row r="80" spans="2:6" ht="12" customHeight="1">
      <c r="B80" s="7"/>
      <c r="C80" s="17">
        <v>73</v>
      </c>
      <c r="D80" s="18"/>
      <c r="E80" s="19"/>
      <c r="F80" s="10"/>
    </row>
    <row r="81" spans="2:6" ht="12" customHeight="1">
      <c r="B81" s="7"/>
      <c r="C81" s="17">
        <v>74</v>
      </c>
      <c r="D81" s="18"/>
      <c r="E81" s="19"/>
      <c r="F81" s="10"/>
    </row>
    <row r="82" spans="2:6" ht="12" customHeight="1">
      <c r="B82" s="7"/>
      <c r="C82" s="17">
        <v>75</v>
      </c>
      <c r="D82" s="18"/>
      <c r="E82" s="19"/>
      <c r="F82" s="10"/>
    </row>
    <row r="83" spans="2:6" ht="12" customHeight="1">
      <c r="B83" s="7"/>
      <c r="C83" s="17">
        <v>76</v>
      </c>
      <c r="D83" s="18"/>
      <c r="E83" s="19"/>
      <c r="F83" s="10"/>
    </row>
    <row r="84" spans="2:6" ht="12" customHeight="1">
      <c r="B84" s="7"/>
      <c r="C84" s="17">
        <v>77</v>
      </c>
      <c r="D84" s="18"/>
      <c r="E84" s="19"/>
      <c r="F84" s="10"/>
    </row>
    <row r="85" spans="2:6" ht="12" customHeight="1">
      <c r="B85" s="7"/>
      <c r="C85" s="17">
        <v>78</v>
      </c>
      <c r="D85" s="18"/>
      <c r="E85" s="19"/>
      <c r="F85" s="10"/>
    </row>
    <row r="86" spans="2:6" ht="12" customHeight="1">
      <c r="B86" s="7"/>
      <c r="C86" s="17">
        <v>79</v>
      </c>
      <c r="D86" s="18"/>
      <c r="E86" s="19"/>
      <c r="F86" s="10"/>
    </row>
    <row r="87" spans="2:6" ht="12" customHeight="1">
      <c r="B87" s="7"/>
      <c r="C87" s="17">
        <v>80</v>
      </c>
      <c r="D87" s="18"/>
      <c r="E87" s="19"/>
      <c r="F87" s="10"/>
    </row>
    <row r="88" spans="2:6" ht="12" customHeight="1">
      <c r="B88" s="7"/>
      <c r="C88" s="17">
        <v>81</v>
      </c>
      <c r="D88" s="18"/>
      <c r="E88" s="19"/>
      <c r="F88" s="10"/>
    </row>
    <row r="89" spans="2:6" ht="12" customHeight="1">
      <c r="B89" s="7"/>
      <c r="C89" s="17">
        <v>82</v>
      </c>
      <c r="D89" s="18"/>
      <c r="E89" s="19"/>
      <c r="F89" s="10"/>
    </row>
    <row r="90" spans="2:6" ht="12" customHeight="1">
      <c r="B90" s="7"/>
      <c r="C90" s="17">
        <v>83</v>
      </c>
      <c r="D90" s="18"/>
      <c r="E90" s="19"/>
      <c r="F90" s="10"/>
    </row>
    <row r="91" spans="2:6" ht="12" customHeight="1">
      <c r="B91" s="7"/>
      <c r="C91" s="17">
        <v>84</v>
      </c>
      <c r="D91" s="18"/>
      <c r="E91" s="19"/>
      <c r="F91" s="10"/>
    </row>
    <row r="92" spans="2:6" ht="12" customHeight="1">
      <c r="B92" s="7"/>
      <c r="C92" s="17">
        <v>85</v>
      </c>
      <c r="D92" s="18"/>
      <c r="E92" s="19"/>
      <c r="F92" s="10"/>
    </row>
    <row r="93" spans="2:6" ht="12" customHeight="1">
      <c r="B93" s="7"/>
      <c r="C93" s="17">
        <v>86</v>
      </c>
      <c r="D93" s="18"/>
      <c r="E93" s="19"/>
      <c r="F93" s="10"/>
    </row>
    <row r="94" spans="2:6" ht="12" customHeight="1">
      <c r="B94" s="7"/>
      <c r="C94" s="17">
        <v>87</v>
      </c>
      <c r="D94" s="18"/>
      <c r="E94" s="19"/>
      <c r="F94" s="10"/>
    </row>
    <row r="95" spans="2:6" ht="12" customHeight="1">
      <c r="B95" s="7"/>
      <c r="C95" s="17">
        <v>88</v>
      </c>
      <c r="D95" s="18"/>
      <c r="E95" s="19"/>
      <c r="F95" s="10"/>
    </row>
    <row r="96" spans="2:6" ht="12" customHeight="1">
      <c r="B96" s="7"/>
      <c r="C96" s="17">
        <v>89</v>
      </c>
      <c r="D96" s="18"/>
      <c r="E96" s="19"/>
      <c r="F96" s="10"/>
    </row>
    <row r="97" spans="2:6" ht="12" customHeight="1">
      <c r="B97" s="7"/>
      <c r="C97" s="17">
        <v>90</v>
      </c>
      <c r="D97" s="18"/>
      <c r="E97" s="19"/>
      <c r="F97" s="10"/>
    </row>
    <row r="98" spans="2:6" ht="12" customHeight="1">
      <c r="B98" s="7"/>
      <c r="C98" s="17">
        <v>91</v>
      </c>
      <c r="D98" s="18"/>
      <c r="E98" s="19"/>
      <c r="F98" s="10"/>
    </row>
    <row r="99" spans="2:6" ht="12" customHeight="1">
      <c r="B99" s="7"/>
      <c r="C99" s="17">
        <v>92</v>
      </c>
      <c r="D99" s="18"/>
      <c r="E99" s="19"/>
      <c r="F99" s="10"/>
    </row>
    <row r="100" spans="2:6" ht="12" customHeight="1">
      <c r="B100" s="7"/>
      <c r="C100" s="17">
        <v>93</v>
      </c>
      <c r="D100" s="18"/>
      <c r="E100" s="19"/>
      <c r="F100" s="10"/>
    </row>
    <row r="101" spans="2:6" ht="12" customHeight="1">
      <c r="B101" s="7"/>
      <c r="C101" s="17">
        <v>94</v>
      </c>
      <c r="D101" s="18"/>
      <c r="E101" s="19"/>
      <c r="F101" s="10"/>
    </row>
    <row r="102" spans="2:6" ht="12" customHeight="1">
      <c r="B102" s="7"/>
      <c r="C102" s="17">
        <v>95</v>
      </c>
      <c r="D102" s="18"/>
      <c r="E102" s="19"/>
      <c r="F102" s="10"/>
    </row>
    <row r="103" spans="2:6" ht="12" customHeight="1">
      <c r="B103" s="7"/>
      <c r="C103" s="17">
        <v>96</v>
      </c>
      <c r="D103" s="18"/>
      <c r="E103" s="19"/>
      <c r="F103" s="10"/>
    </row>
    <row r="104" spans="2:6" ht="12" customHeight="1">
      <c r="B104" s="7"/>
      <c r="C104" s="17">
        <v>97</v>
      </c>
      <c r="D104" s="18"/>
      <c r="E104" s="19"/>
      <c r="F104" s="10"/>
    </row>
    <row r="105" spans="2:6" ht="12" customHeight="1">
      <c r="B105" s="7"/>
      <c r="C105" s="17">
        <v>98</v>
      </c>
      <c r="D105" s="18"/>
      <c r="E105" s="19"/>
      <c r="F105" s="10"/>
    </row>
    <row r="106" spans="2:6" ht="12" customHeight="1">
      <c r="B106" s="7"/>
      <c r="C106" s="17">
        <v>99</v>
      </c>
      <c r="D106" s="18"/>
      <c r="E106" s="19"/>
      <c r="F106" s="10"/>
    </row>
    <row r="107" spans="2:6" ht="12" customHeight="1">
      <c r="B107" s="7"/>
      <c r="C107" s="17">
        <v>100</v>
      </c>
      <c r="D107" s="18"/>
      <c r="E107" s="19"/>
      <c r="F107" s="10"/>
    </row>
    <row r="108" spans="2:6" ht="12" customHeight="1">
      <c r="B108" s="7"/>
      <c r="C108" s="17">
        <v>101</v>
      </c>
      <c r="D108" s="18"/>
      <c r="E108" s="19"/>
      <c r="F108" s="10"/>
    </row>
    <row r="109" spans="2:6" ht="12" customHeight="1">
      <c r="B109" s="7"/>
      <c r="C109" s="17">
        <v>102</v>
      </c>
      <c r="D109" s="18"/>
      <c r="E109" s="19"/>
      <c r="F109" s="10"/>
    </row>
    <row r="110" spans="2:6" ht="12" customHeight="1">
      <c r="B110" s="7"/>
      <c r="C110" s="17">
        <v>103</v>
      </c>
      <c r="D110" s="18"/>
      <c r="E110" s="19"/>
      <c r="F110" s="10"/>
    </row>
    <row r="111" spans="2:6" ht="12" customHeight="1">
      <c r="B111" s="7"/>
      <c r="C111" s="17">
        <v>104</v>
      </c>
      <c r="D111" s="18"/>
      <c r="E111" s="19"/>
      <c r="F111" s="10"/>
    </row>
    <row r="112" spans="2:6" ht="12" customHeight="1">
      <c r="B112" s="7"/>
      <c r="C112" s="17">
        <v>105</v>
      </c>
      <c r="D112" s="18"/>
      <c r="E112" s="19"/>
      <c r="F112" s="10"/>
    </row>
    <row r="113" spans="2:6" ht="12" customHeight="1">
      <c r="B113" s="7"/>
      <c r="C113" s="17">
        <v>106</v>
      </c>
      <c r="D113" s="18"/>
      <c r="E113" s="19"/>
      <c r="F113" s="10"/>
    </row>
    <row r="114" spans="2:6" ht="12" customHeight="1">
      <c r="B114" s="7"/>
      <c r="C114" s="17">
        <v>107</v>
      </c>
      <c r="D114" s="18"/>
      <c r="E114" s="19"/>
      <c r="F114" s="10"/>
    </row>
    <row r="115" spans="2:6" ht="12" customHeight="1">
      <c r="B115" s="7"/>
      <c r="C115" s="17">
        <v>108</v>
      </c>
      <c r="D115" s="18"/>
      <c r="E115" s="19"/>
      <c r="F115" s="10"/>
    </row>
    <row r="116" spans="2:6" ht="12" customHeight="1">
      <c r="B116" s="7"/>
      <c r="C116" s="17">
        <v>109</v>
      </c>
      <c r="D116" s="18"/>
      <c r="E116" s="19"/>
      <c r="F116" s="10"/>
    </row>
    <row r="117" spans="2:6" ht="12" customHeight="1">
      <c r="B117" s="7"/>
      <c r="C117" s="17">
        <v>110</v>
      </c>
      <c r="D117" s="18"/>
      <c r="E117" s="19"/>
      <c r="F117" s="10"/>
    </row>
    <row r="118" spans="2:6" ht="12" customHeight="1">
      <c r="B118" s="7"/>
      <c r="C118" s="17">
        <v>111</v>
      </c>
      <c r="D118" s="18"/>
      <c r="E118" s="19"/>
      <c r="F118" s="10"/>
    </row>
    <row r="119" spans="2:6" ht="12" customHeight="1">
      <c r="B119" s="7"/>
      <c r="C119" s="17">
        <v>112</v>
      </c>
      <c r="D119" s="18"/>
      <c r="E119" s="19"/>
      <c r="F119" s="10"/>
    </row>
    <row r="120" spans="2:6" ht="12" customHeight="1">
      <c r="B120" s="7"/>
      <c r="C120" s="17">
        <v>113</v>
      </c>
      <c r="D120" s="18"/>
      <c r="E120" s="19"/>
      <c r="F120" s="10"/>
    </row>
    <row r="121" spans="2:6" ht="12" customHeight="1">
      <c r="B121" s="7"/>
      <c r="C121" s="17">
        <v>114</v>
      </c>
      <c r="D121" s="18"/>
      <c r="E121" s="19"/>
      <c r="F121" s="10"/>
    </row>
    <row r="122" spans="2:6" ht="12" customHeight="1">
      <c r="B122" s="7"/>
      <c r="C122" s="17">
        <v>115</v>
      </c>
      <c r="D122" s="18"/>
      <c r="E122" s="19"/>
      <c r="F122" s="10"/>
    </row>
    <row r="123" spans="2:6" ht="12" customHeight="1">
      <c r="B123" s="7"/>
      <c r="C123" s="17">
        <v>116</v>
      </c>
      <c r="D123" s="18"/>
      <c r="E123" s="19"/>
      <c r="F123" s="10"/>
    </row>
    <row r="124" spans="2:6" ht="12" customHeight="1">
      <c r="B124" s="7"/>
      <c r="C124" s="17">
        <v>117</v>
      </c>
      <c r="D124" s="18"/>
      <c r="E124" s="19"/>
      <c r="F124" s="10"/>
    </row>
    <row r="125" spans="2:6" ht="12" customHeight="1">
      <c r="B125" s="7"/>
      <c r="C125" s="17">
        <v>118</v>
      </c>
      <c r="D125" s="18"/>
      <c r="E125" s="19"/>
      <c r="F125" s="10"/>
    </row>
    <row r="126" spans="2:6" ht="12" customHeight="1">
      <c r="B126" s="7"/>
      <c r="C126" s="17">
        <v>119</v>
      </c>
      <c r="D126" s="18"/>
      <c r="E126" s="19"/>
      <c r="F126" s="10"/>
    </row>
    <row r="127" spans="2:6" ht="12" customHeight="1">
      <c r="B127" s="7"/>
      <c r="C127" s="17">
        <v>120</v>
      </c>
      <c r="D127" s="18"/>
      <c r="E127" s="19"/>
      <c r="F127" s="10"/>
    </row>
    <row r="128" spans="2:6" ht="12" customHeight="1">
      <c r="B128" s="7"/>
      <c r="C128" s="17">
        <v>121</v>
      </c>
      <c r="D128" s="18"/>
      <c r="E128" s="19"/>
      <c r="F128" s="10"/>
    </row>
    <row r="129" spans="2:6" ht="12" customHeight="1">
      <c r="B129" s="7"/>
      <c r="C129" s="17">
        <v>122</v>
      </c>
      <c r="D129" s="18"/>
      <c r="E129" s="19"/>
      <c r="F129" s="10"/>
    </row>
    <row r="130" spans="2:6" ht="12" customHeight="1">
      <c r="B130" s="7"/>
      <c r="C130" s="17">
        <v>123</v>
      </c>
      <c r="D130" s="18"/>
      <c r="E130" s="19"/>
      <c r="F130" s="10"/>
    </row>
    <row r="131" spans="2:6" ht="12" customHeight="1">
      <c r="B131" s="7"/>
      <c r="C131" s="17">
        <v>124</v>
      </c>
      <c r="D131" s="18"/>
      <c r="E131" s="19"/>
      <c r="F131" s="10"/>
    </row>
    <row r="132" spans="2:6" ht="12" customHeight="1">
      <c r="B132" s="7"/>
      <c r="C132" s="17">
        <v>125</v>
      </c>
      <c r="D132" s="18"/>
      <c r="E132" s="19"/>
      <c r="F132" s="10"/>
    </row>
    <row r="133" spans="2:6" ht="12" customHeight="1">
      <c r="B133" s="7"/>
      <c r="C133" s="17">
        <v>126</v>
      </c>
      <c r="D133" s="18"/>
      <c r="E133" s="19"/>
      <c r="F133" s="10"/>
    </row>
    <row r="134" spans="2:6" ht="12" customHeight="1">
      <c r="B134" s="7"/>
      <c r="C134" s="17">
        <v>127</v>
      </c>
      <c r="D134" s="18"/>
      <c r="E134" s="19"/>
      <c r="F134" s="10"/>
    </row>
    <row r="135" spans="2:6" ht="12" customHeight="1">
      <c r="B135" s="7"/>
      <c r="C135" s="17">
        <v>128</v>
      </c>
      <c r="D135" s="18"/>
      <c r="E135" s="19"/>
      <c r="F135" s="10"/>
    </row>
    <row r="136" spans="2:6" ht="12" customHeight="1">
      <c r="B136" s="7"/>
      <c r="C136" s="17">
        <v>129</v>
      </c>
      <c r="D136" s="18"/>
      <c r="E136" s="19"/>
      <c r="F136" s="10"/>
    </row>
    <row r="137" spans="2:6" ht="12" customHeight="1">
      <c r="B137" s="7"/>
      <c r="C137" s="17">
        <v>130</v>
      </c>
      <c r="D137" s="18"/>
      <c r="E137" s="19"/>
      <c r="F137" s="10"/>
    </row>
    <row r="138" spans="2:6" ht="12" customHeight="1">
      <c r="B138" s="7"/>
      <c r="C138" s="17">
        <v>131</v>
      </c>
      <c r="D138" s="18"/>
      <c r="E138" s="19"/>
      <c r="F138" s="10"/>
    </row>
    <row r="139" spans="2:6" ht="12" customHeight="1">
      <c r="B139" s="7"/>
      <c r="C139" s="17">
        <v>132</v>
      </c>
      <c r="D139" s="18"/>
      <c r="E139" s="19"/>
      <c r="F139" s="10"/>
    </row>
    <row r="140" spans="2:6" ht="12" customHeight="1">
      <c r="B140" s="7"/>
      <c r="C140" s="17">
        <v>133</v>
      </c>
      <c r="D140" s="18"/>
      <c r="E140" s="19"/>
      <c r="F140" s="10"/>
    </row>
    <row r="141" spans="2:6" ht="12" customHeight="1">
      <c r="B141" s="7"/>
      <c r="C141" s="17">
        <v>134</v>
      </c>
      <c r="D141" s="18"/>
      <c r="E141" s="19"/>
      <c r="F141" s="10"/>
    </row>
    <row r="142" spans="2:6" ht="12" customHeight="1">
      <c r="B142" s="7"/>
      <c r="C142" s="17">
        <v>135</v>
      </c>
      <c r="D142" s="18"/>
      <c r="E142" s="19"/>
      <c r="F142" s="10"/>
    </row>
    <row r="143" spans="2:6" ht="12" customHeight="1">
      <c r="B143" s="7"/>
      <c r="C143" s="17">
        <v>136</v>
      </c>
      <c r="D143" s="18"/>
      <c r="E143" s="19"/>
      <c r="F143" s="10"/>
    </row>
    <row r="144" spans="2:6" ht="12" customHeight="1">
      <c r="B144" s="7"/>
      <c r="C144" s="17">
        <v>137</v>
      </c>
      <c r="D144" s="18"/>
      <c r="E144" s="19"/>
      <c r="F144" s="10"/>
    </row>
    <row r="145" spans="2:6" ht="12" customHeight="1">
      <c r="B145" s="7"/>
      <c r="C145" s="17">
        <v>138</v>
      </c>
      <c r="D145" s="18"/>
      <c r="E145" s="19"/>
      <c r="F145" s="10"/>
    </row>
    <row r="146" spans="2:6" ht="12" customHeight="1">
      <c r="B146" s="7"/>
      <c r="C146" s="17">
        <v>139</v>
      </c>
      <c r="D146" s="18"/>
      <c r="E146" s="19"/>
      <c r="F146" s="10"/>
    </row>
    <row r="147" spans="2:6" ht="12" customHeight="1">
      <c r="B147" s="7"/>
      <c r="C147" s="17">
        <v>140</v>
      </c>
      <c r="D147" s="18"/>
      <c r="E147" s="19"/>
      <c r="F147" s="10"/>
    </row>
    <row r="148" spans="2:6" ht="12" customHeight="1">
      <c r="B148" s="7"/>
      <c r="C148" s="17">
        <v>141</v>
      </c>
      <c r="D148" s="18"/>
      <c r="E148" s="19"/>
      <c r="F148" s="10"/>
    </row>
    <row r="149" spans="2:6" ht="12" customHeight="1">
      <c r="B149" s="7"/>
      <c r="C149" s="17">
        <v>142</v>
      </c>
      <c r="D149" s="18"/>
      <c r="E149" s="19"/>
      <c r="F149" s="10"/>
    </row>
    <row r="150" spans="2:6" ht="12" customHeight="1">
      <c r="B150" s="7"/>
      <c r="C150" s="17">
        <v>143</v>
      </c>
      <c r="D150" s="18"/>
      <c r="E150" s="19"/>
      <c r="F150" s="10"/>
    </row>
    <row r="151" spans="2:6" ht="12" customHeight="1">
      <c r="B151" s="7"/>
      <c r="C151" s="17">
        <v>144</v>
      </c>
      <c r="D151" s="18"/>
      <c r="E151" s="19"/>
      <c r="F151" s="10"/>
    </row>
    <row r="152" spans="2:6" ht="12" customHeight="1">
      <c r="B152" s="7"/>
      <c r="C152" s="17">
        <v>145</v>
      </c>
      <c r="D152" s="18"/>
      <c r="E152" s="19"/>
      <c r="F152" s="10"/>
    </row>
    <row r="153" spans="2:6" ht="12" customHeight="1">
      <c r="B153" s="7"/>
      <c r="C153" s="17">
        <v>146</v>
      </c>
      <c r="D153" s="18"/>
      <c r="E153" s="19"/>
      <c r="F153" s="10"/>
    </row>
    <row r="154" spans="2:6" ht="12" customHeight="1">
      <c r="B154" s="7"/>
      <c r="C154" s="17">
        <v>147</v>
      </c>
      <c r="D154" s="18"/>
      <c r="E154" s="19"/>
      <c r="F154" s="10"/>
    </row>
    <row r="155" spans="2:6" ht="12" customHeight="1">
      <c r="B155" s="7"/>
      <c r="C155" s="17">
        <v>148</v>
      </c>
      <c r="D155" s="18"/>
      <c r="E155" s="19"/>
      <c r="F155" s="10"/>
    </row>
    <row r="156" spans="2:6" ht="12" customHeight="1">
      <c r="B156" s="7"/>
      <c r="C156" s="17">
        <v>149</v>
      </c>
      <c r="D156" s="18"/>
      <c r="E156" s="19"/>
      <c r="F156" s="10"/>
    </row>
    <row r="157" spans="2:6" ht="12" customHeight="1">
      <c r="B157" s="7"/>
      <c r="C157" s="17">
        <v>150</v>
      </c>
      <c r="D157" s="18"/>
      <c r="E157" s="19"/>
      <c r="F157" s="10"/>
    </row>
    <row r="158" spans="2:6" ht="12" customHeight="1">
      <c r="B158" s="7"/>
      <c r="C158" s="17">
        <v>151</v>
      </c>
      <c r="D158" s="18"/>
      <c r="E158" s="19"/>
      <c r="F158" s="10"/>
    </row>
    <row r="159" spans="2:6" ht="12" customHeight="1">
      <c r="B159" s="7"/>
      <c r="C159" s="17">
        <v>152</v>
      </c>
      <c r="D159" s="18"/>
      <c r="E159" s="19"/>
      <c r="F159" s="10"/>
    </row>
    <row r="160" spans="2:6" ht="12" customHeight="1">
      <c r="B160" s="7"/>
      <c r="C160" s="17">
        <v>153</v>
      </c>
      <c r="D160" s="18"/>
      <c r="E160" s="19"/>
      <c r="F160" s="10"/>
    </row>
    <row r="161" spans="2:6" ht="12" customHeight="1">
      <c r="B161" s="7"/>
      <c r="C161" s="17">
        <v>154</v>
      </c>
      <c r="D161" s="18"/>
      <c r="E161" s="19"/>
      <c r="F161" s="10"/>
    </row>
    <row r="162" spans="2:6" ht="12" customHeight="1">
      <c r="B162" s="7"/>
      <c r="C162" s="17">
        <v>155</v>
      </c>
      <c r="D162" s="18"/>
      <c r="E162" s="19"/>
      <c r="F162" s="10"/>
    </row>
    <row r="163" spans="2:6" ht="12" customHeight="1">
      <c r="B163" s="7"/>
      <c r="C163" s="17">
        <v>156</v>
      </c>
      <c r="D163" s="18"/>
      <c r="E163" s="19"/>
      <c r="F163" s="10"/>
    </row>
    <row r="164" spans="2:6" ht="12" customHeight="1">
      <c r="B164" s="7"/>
      <c r="C164" s="17">
        <v>157</v>
      </c>
      <c r="D164" s="18"/>
      <c r="E164" s="19"/>
      <c r="F164" s="10"/>
    </row>
    <row r="165" spans="2:6" ht="12" customHeight="1">
      <c r="B165" s="7"/>
      <c r="C165" s="17">
        <v>158</v>
      </c>
      <c r="D165" s="18"/>
      <c r="E165" s="19"/>
      <c r="F165" s="10"/>
    </row>
    <row r="166" spans="2:6" ht="12" customHeight="1">
      <c r="B166" s="7"/>
      <c r="C166" s="17">
        <v>159</v>
      </c>
      <c r="D166" s="18"/>
      <c r="E166" s="19"/>
      <c r="F166" s="10"/>
    </row>
    <row r="167" spans="2:6" ht="12" customHeight="1">
      <c r="B167" s="7"/>
      <c r="C167" s="17">
        <v>160</v>
      </c>
      <c r="D167" s="18"/>
      <c r="E167" s="19"/>
      <c r="F167" s="10"/>
    </row>
    <row r="168" spans="2:6" ht="12" customHeight="1">
      <c r="B168" s="7"/>
      <c r="C168" s="17">
        <v>161</v>
      </c>
      <c r="D168" s="18"/>
      <c r="E168" s="19"/>
      <c r="F168" s="10"/>
    </row>
    <row r="169" spans="2:6" ht="12" customHeight="1">
      <c r="B169" s="7"/>
      <c r="C169" s="17">
        <v>162</v>
      </c>
      <c r="D169" s="18"/>
      <c r="E169" s="19"/>
      <c r="F169" s="10"/>
    </row>
    <row r="170" spans="2:6" ht="12" customHeight="1">
      <c r="B170" s="7"/>
      <c r="C170" s="17">
        <v>163</v>
      </c>
      <c r="D170" s="18"/>
      <c r="E170" s="19"/>
      <c r="F170" s="10"/>
    </row>
    <row r="171" spans="2:6" ht="12" customHeight="1">
      <c r="B171" s="7"/>
      <c r="C171" s="17">
        <v>164</v>
      </c>
      <c r="D171" s="18"/>
      <c r="E171" s="19"/>
      <c r="F171" s="10"/>
    </row>
    <row r="172" spans="2:6" ht="12" customHeight="1">
      <c r="B172" s="7"/>
      <c r="C172" s="17">
        <v>165</v>
      </c>
      <c r="D172" s="18"/>
      <c r="E172" s="19"/>
      <c r="F172" s="10"/>
    </row>
    <row r="173" spans="2:6" ht="12" customHeight="1">
      <c r="B173" s="7"/>
      <c r="C173" s="17">
        <v>166</v>
      </c>
      <c r="D173" s="18"/>
      <c r="E173" s="19"/>
      <c r="F173" s="10"/>
    </row>
    <row r="174" spans="2:6" ht="12" customHeight="1">
      <c r="B174" s="7"/>
      <c r="C174" s="17">
        <v>167</v>
      </c>
      <c r="D174" s="18"/>
      <c r="E174" s="19"/>
      <c r="F174" s="10"/>
    </row>
    <row r="175" spans="2:6" ht="12" customHeight="1">
      <c r="B175" s="7"/>
      <c r="C175" s="17">
        <v>168</v>
      </c>
      <c r="D175" s="18"/>
      <c r="E175" s="19"/>
      <c r="F175" s="10"/>
    </row>
    <row r="176" spans="2:6" ht="12" customHeight="1">
      <c r="B176" s="7"/>
      <c r="C176" s="17">
        <v>169</v>
      </c>
      <c r="D176" s="18"/>
      <c r="E176" s="19"/>
      <c r="F176" s="10"/>
    </row>
    <row r="177" spans="2:6" ht="12" customHeight="1">
      <c r="B177" s="7"/>
      <c r="C177" s="17">
        <v>170</v>
      </c>
      <c r="D177" s="18"/>
      <c r="E177" s="19"/>
      <c r="F177" s="10"/>
    </row>
    <row r="178" spans="2:6" ht="12" customHeight="1">
      <c r="B178" s="7"/>
      <c r="C178" s="17">
        <v>171</v>
      </c>
      <c r="D178" s="18"/>
      <c r="E178" s="19"/>
      <c r="F178" s="10"/>
    </row>
    <row r="179" spans="2:6" ht="12" customHeight="1">
      <c r="B179" s="7"/>
      <c r="C179" s="17">
        <v>172</v>
      </c>
      <c r="D179" s="18"/>
      <c r="E179" s="19"/>
      <c r="F179" s="10"/>
    </row>
    <row r="180" spans="2:6" ht="12" customHeight="1">
      <c r="B180" s="7"/>
      <c r="C180" s="17">
        <v>173</v>
      </c>
      <c r="D180" s="18"/>
      <c r="E180" s="19"/>
      <c r="F180" s="10"/>
    </row>
    <row r="181" spans="2:6" ht="12" customHeight="1">
      <c r="B181" s="7"/>
      <c r="C181" s="17">
        <v>174</v>
      </c>
      <c r="D181" s="18"/>
      <c r="E181" s="19"/>
      <c r="F181" s="10"/>
    </row>
    <row r="182" spans="2:6" ht="12" customHeight="1">
      <c r="B182" s="7"/>
      <c r="C182" s="17">
        <v>175</v>
      </c>
      <c r="D182" s="18"/>
      <c r="E182" s="19"/>
      <c r="F182" s="10"/>
    </row>
    <row r="183" spans="2:6" ht="12" customHeight="1">
      <c r="B183" s="7"/>
      <c r="C183" s="17">
        <v>176</v>
      </c>
      <c r="D183" s="18"/>
      <c r="E183" s="19"/>
      <c r="F183" s="10"/>
    </row>
    <row r="184" spans="2:6" ht="12" customHeight="1">
      <c r="B184" s="7"/>
      <c r="C184" s="17">
        <v>177</v>
      </c>
      <c r="D184" s="18"/>
      <c r="E184" s="19"/>
      <c r="F184" s="10"/>
    </row>
    <row r="185" spans="2:6" ht="12" customHeight="1">
      <c r="B185" s="7"/>
      <c r="C185" s="17">
        <v>178</v>
      </c>
      <c r="D185" s="18"/>
      <c r="E185" s="19"/>
      <c r="F185" s="10"/>
    </row>
    <row r="186" spans="2:6" ht="12" customHeight="1">
      <c r="B186" s="7"/>
      <c r="C186" s="17">
        <v>179</v>
      </c>
      <c r="D186" s="18"/>
      <c r="E186" s="19"/>
      <c r="F186" s="10"/>
    </row>
    <row r="187" spans="2:6" ht="12" customHeight="1">
      <c r="B187" s="7"/>
      <c r="C187" s="17">
        <v>180</v>
      </c>
      <c r="D187" s="18"/>
      <c r="E187" s="19"/>
      <c r="F187" s="10"/>
    </row>
    <row r="188" spans="2:6" ht="12" customHeight="1">
      <c r="B188" s="7"/>
      <c r="C188" s="17">
        <v>181</v>
      </c>
      <c r="D188" s="18"/>
      <c r="E188" s="19"/>
      <c r="F188" s="10"/>
    </row>
    <row r="189" spans="2:6" ht="12" customHeight="1">
      <c r="B189" s="7"/>
      <c r="C189" s="17">
        <v>182</v>
      </c>
      <c r="D189" s="18"/>
      <c r="E189" s="19"/>
      <c r="F189" s="10"/>
    </row>
    <row r="190" spans="2:6" ht="12" customHeight="1">
      <c r="B190" s="7"/>
      <c r="C190" s="17">
        <v>183</v>
      </c>
      <c r="D190" s="18"/>
      <c r="E190" s="19"/>
      <c r="F190" s="10"/>
    </row>
    <row r="191" spans="2:6" ht="12" customHeight="1">
      <c r="B191" s="7"/>
      <c r="C191" s="17">
        <v>184</v>
      </c>
      <c r="D191" s="18"/>
      <c r="E191" s="19"/>
      <c r="F191" s="10"/>
    </row>
    <row r="192" spans="2:6" ht="12" customHeight="1">
      <c r="B192" s="7"/>
      <c r="C192" s="17">
        <v>185</v>
      </c>
      <c r="D192" s="18"/>
      <c r="E192" s="19"/>
      <c r="F192" s="10"/>
    </row>
    <row r="193" spans="2:6" ht="12" customHeight="1">
      <c r="B193" s="7"/>
      <c r="C193" s="17">
        <v>186</v>
      </c>
      <c r="D193" s="18"/>
      <c r="E193" s="19"/>
      <c r="F193" s="10"/>
    </row>
    <row r="194" spans="2:6" ht="12" customHeight="1">
      <c r="B194" s="7"/>
      <c r="C194" s="17">
        <v>187</v>
      </c>
      <c r="D194" s="18"/>
      <c r="E194" s="19"/>
      <c r="F194" s="10"/>
    </row>
    <row r="195" spans="2:6" ht="12" customHeight="1">
      <c r="B195" s="7"/>
      <c r="C195" s="17">
        <v>188</v>
      </c>
      <c r="D195" s="18"/>
      <c r="E195" s="19"/>
      <c r="F195" s="10"/>
    </row>
    <row r="196" spans="2:6" ht="12" customHeight="1">
      <c r="B196" s="7"/>
      <c r="C196" s="17">
        <v>189</v>
      </c>
      <c r="D196" s="18"/>
      <c r="E196" s="19"/>
      <c r="F196" s="10"/>
    </row>
    <row r="197" spans="2:6" ht="12" customHeight="1">
      <c r="B197" s="7"/>
      <c r="C197" s="17">
        <v>190</v>
      </c>
      <c r="D197" s="18"/>
      <c r="E197" s="19"/>
      <c r="F197" s="10"/>
    </row>
    <row r="198" spans="2:6" ht="12" customHeight="1">
      <c r="B198" s="7"/>
      <c r="C198" s="17">
        <v>191</v>
      </c>
      <c r="D198" s="18"/>
      <c r="E198" s="19"/>
      <c r="F198" s="10"/>
    </row>
    <row r="199" spans="2:6" ht="12" customHeight="1">
      <c r="B199" s="7"/>
      <c r="C199" s="17">
        <v>192</v>
      </c>
      <c r="D199" s="18"/>
      <c r="E199" s="19"/>
      <c r="F199" s="10"/>
    </row>
    <row r="200" spans="2:6" ht="12" customHeight="1">
      <c r="B200" s="7"/>
      <c r="C200" s="17">
        <v>193</v>
      </c>
      <c r="D200" s="18"/>
      <c r="E200" s="19"/>
      <c r="F200" s="10"/>
    </row>
    <row r="201" spans="2:6" ht="12" customHeight="1">
      <c r="B201" s="7"/>
      <c r="C201" s="17">
        <v>194</v>
      </c>
      <c r="D201" s="18"/>
      <c r="E201" s="19"/>
      <c r="F201" s="10"/>
    </row>
    <row r="202" spans="2:6" ht="12" customHeight="1">
      <c r="B202" s="7"/>
      <c r="C202" s="17">
        <v>195</v>
      </c>
      <c r="D202" s="18"/>
      <c r="E202" s="19"/>
      <c r="F202" s="10"/>
    </row>
    <row r="203" spans="2:6" ht="12" customHeight="1">
      <c r="B203" s="7"/>
      <c r="C203" s="17">
        <v>196</v>
      </c>
      <c r="D203" s="18"/>
      <c r="E203" s="19"/>
      <c r="F203" s="10"/>
    </row>
    <row r="204" spans="2:6" ht="12" customHeight="1">
      <c r="B204" s="7"/>
      <c r="C204" s="17">
        <v>197</v>
      </c>
      <c r="D204" s="18"/>
      <c r="E204" s="19"/>
      <c r="F204" s="10"/>
    </row>
    <row r="205" spans="2:6" ht="12" customHeight="1">
      <c r="B205" s="7"/>
      <c r="C205" s="17">
        <v>198</v>
      </c>
      <c r="D205" s="18"/>
      <c r="E205" s="19"/>
      <c r="F205" s="10"/>
    </row>
    <row r="206" spans="2:6" ht="12" customHeight="1">
      <c r="B206" s="7"/>
      <c r="C206" s="17">
        <v>199</v>
      </c>
      <c r="D206" s="18"/>
      <c r="E206" s="19"/>
      <c r="F206" s="10"/>
    </row>
    <row r="207" spans="2:6" ht="12" customHeight="1">
      <c r="B207" s="7"/>
      <c r="C207" s="17">
        <v>200</v>
      </c>
      <c r="D207" s="18"/>
      <c r="E207" s="19"/>
      <c r="F207" s="10"/>
    </row>
    <row r="208" spans="2:6" ht="12" customHeight="1">
      <c r="B208" s="7"/>
      <c r="C208" s="17">
        <v>201</v>
      </c>
      <c r="D208" s="18"/>
      <c r="E208" s="19"/>
      <c r="F208" s="10"/>
    </row>
    <row r="209" spans="2:6" ht="12" customHeight="1">
      <c r="B209" s="7"/>
      <c r="C209" s="17">
        <v>202</v>
      </c>
      <c r="D209" s="18"/>
      <c r="E209" s="19"/>
      <c r="F209" s="10"/>
    </row>
    <row r="210" spans="2:6" ht="12" customHeight="1">
      <c r="B210" s="7"/>
      <c r="C210" s="17">
        <v>203</v>
      </c>
      <c r="D210" s="18"/>
      <c r="E210" s="19"/>
      <c r="F210" s="10"/>
    </row>
    <row r="211" spans="2:6" ht="12" customHeight="1">
      <c r="B211" s="7"/>
      <c r="C211" s="17">
        <v>204</v>
      </c>
      <c r="D211" s="18"/>
      <c r="E211" s="19"/>
      <c r="F211" s="10"/>
    </row>
    <row r="212" spans="2:6" ht="12" customHeight="1">
      <c r="B212" s="7"/>
      <c r="C212" s="17">
        <v>205</v>
      </c>
      <c r="D212" s="18"/>
      <c r="E212" s="19"/>
      <c r="F212" s="10"/>
    </row>
    <row r="213" spans="2:6" ht="12" customHeight="1">
      <c r="B213" s="7"/>
      <c r="C213" s="17">
        <v>206</v>
      </c>
      <c r="D213" s="18"/>
      <c r="E213" s="19"/>
      <c r="F213" s="10"/>
    </row>
    <row r="214" spans="2:6" ht="12" customHeight="1">
      <c r="B214" s="7"/>
      <c r="C214" s="17">
        <v>207</v>
      </c>
      <c r="D214" s="18"/>
      <c r="E214" s="19"/>
      <c r="F214" s="10"/>
    </row>
    <row r="215" spans="2:6" ht="12" customHeight="1">
      <c r="B215" s="7"/>
      <c r="C215" s="17">
        <v>208</v>
      </c>
      <c r="D215" s="18"/>
      <c r="E215" s="19"/>
      <c r="F215" s="10"/>
    </row>
    <row r="216" spans="2:6" ht="12" customHeight="1">
      <c r="B216" s="7"/>
      <c r="C216" s="17">
        <v>209</v>
      </c>
      <c r="D216" s="18"/>
      <c r="E216" s="19"/>
      <c r="F216" s="10"/>
    </row>
    <row r="217" spans="2:6" ht="12" customHeight="1">
      <c r="B217" s="7"/>
      <c r="C217" s="17">
        <v>210</v>
      </c>
      <c r="D217" s="18"/>
      <c r="E217" s="19"/>
      <c r="F217" s="10"/>
    </row>
    <row r="218" spans="2:6" ht="12" customHeight="1">
      <c r="B218" s="7"/>
      <c r="C218" s="17">
        <v>211</v>
      </c>
      <c r="D218" s="18"/>
      <c r="E218" s="19"/>
      <c r="F218" s="10"/>
    </row>
    <row r="219" spans="2:6" ht="12" customHeight="1">
      <c r="B219" s="7"/>
      <c r="C219" s="17">
        <v>212</v>
      </c>
      <c r="D219" s="18"/>
      <c r="E219" s="19"/>
      <c r="F219" s="10"/>
    </row>
    <row r="220" spans="2:6" ht="12" customHeight="1">
      <c r="B220" s="7"/>
      <c r="C220" s="17">
        <v>213</v>
      </c>
      <c r="D220" s="18"/>
      <c r="E220" s="19"/>
      <c r="F220" s="10"/>
    </row>
    <row r="221" spans="2:6" ht="12" customHeight="1">
      <c r="B221" s="7"/>
      <c r="C221" s="17">
        <v>214</v>
      </c>
      <c r="D221" s="18"/>
      <c r="E221" s="19"/>
      <c r="F221" s="10"/>
    </row>
    <row r="222" spans="2:6" ht="12" customHeight="1">
      <c r="B222" s="7"/>
      <c r="C222" s="17">
        <v>215</v>
      </c>
      <c r="D222" s="18"/>
      <c r="E222" s="19"/>
      <c r="F222" s="10"/>
    </row>
    <row r="223" spans="2:6" ht="12" customHeight="1">
      <c r="B223" s="7"/>
      <c r="C223" s="17">
        <v>216</v>
      </c>
      <c r="D223" s="18"/>
      <c r="E223" s="19"/>
      <c r="F223" s="10"/>
    </row>
    <row r="224" spans="2:6" ht="12" customHeight="1">
      <c r="B224" s="7"/>
      <c r="C224" s="17">
        <v>217</v>
      </c>
      <c r="D224" s="18"/>
      <c r="E224" s="19"/>
      <c r="F224" s="10"/>
    </row>
    <row r="225" spans="2:6" ht="12" customHeight="1">
      <c r="B225" s="7"/>
      <c r="C225" s="17">
        <v>218</v>
      </c>
      <c r="D225" s="18"/>
      <c r="E225" s="19"/>
      <c r="F225" s="10"/>
    </row>
    <row r="226" spans="2:6" ht="12" customHeight="1">
      <c r="B226" s="7"/>
      <c r="C226" s="17">
        <v>219</v>
      </c>
      <c r="D226" s="18"/>
      <c r="E226" s="19"/>
      <c r="F226" s="10"/>
    </row>
    <row r="227" spans="2:6" ht="12" customHeight="1">
      <c r="B227" s="7"/>
      <c r="C227" s="17">
        <v>220</v>
      </c>
      <c r="D227" s="18"/>
      <c r="E227" s="19"/>
      <c r="F227" s="10"/>
    </row>
    <row r="228" spans="2:6" ht="12" customHeight="1">
      <c r="B228" s="7"/>
      <c r="C228" s="17">
        <v>221</v>
      </c>
      <c r="D228" s="18"/>
      <c r="E228" s="19"/>
      <c r="F228" s="10"/>
    </row>
    <row r="229" spans="2:6" ht="12" customHeight="1">
      <c r="B229" s="7"/>
      <c r="C229" s="17">
        <v>222</v>
      </c>
      <c r="D229" s="18"/>
      <c r="E229" s="19"/>
      <c r="F229" s="10"/>
    </row>
    <row r="230" spans="2:6" ht="12" customHeight="1">
      <c r="B230" s="7"/>
      <c r="C230" s="17">
        <v>223</v>
      </c>
      <c r="D230" s="18"/>
      <c r="E230" s="19"/>
      <c r="F230" s="10"/>
    </row>
    <row r="231" spans="2:6" ht="12" customHeight="1">
      <c r="B231" s="7"/>
      <c r="C231" s="17">
        <v>224</v>
      </c>
      <c r="D231" s="18"/>
      <c r="E231" s="19"/>
      <c r="F231" s="10"/>
    </row>
    <row r="232" spans="2:6" ht="12" customHeight="1">
      <c r="B232" s="7"/>
      <c r="C232" s="17">
        <v>225</v>
      </c>
      <c r="D232" s="18"/>
      <c r="E232" s="19"/>
      <c r="F232" s="10"/>
    </row>
    <row r="233" spans="2:6" ht="12" customHeight="1">
      <c r="B233" s="7"/>
      <c r="C233" s="17">
        <v>226</v>
      </c>
      <c r="D233" s="18"/>
      <c r="E233" s="19"/>
      <c r="F233" s="10"/>
    </row>
    <row r="234" spans="2:6" ht="12" customHeight="1">
      <c r="B234" s="7"/>
      <c r="C234" s="17">
        <v>227</v>
      </c>
      <c r="D234" s="18"/>
      <c r="E234" s="19"/>
      <c r="F234" s="10"/>
    </row>
    <row r="235" spans="2:6" ht="12" customHeight="1">
      <c r="B235" s="7"/>
      <c r="C235" s="17">
        <v>228</v>
      </c>
      <c r="D235" s="18"/>
      <c r="E235" s="19"/>
      <c r="F235" s="10"/>
    </row>
    <row r="236" spans="2:6" ht="12" customHeight="1">
      <c r="B236" s="7"/>
      <c r="C236" s="17">
        <v>229</v>
      </c>
      <c r="D236" s="18"/>
      <c r="E236" s="19"/>
      <c r="F236" s="10"/>
    </row>
    <row r="237" spans="2:6" ht="12" customHeight="1">
      <c r="B237" s="7"/>
      <c r="C237" s="17">
        <v>230</v>
      </c>
      <c r="D237" s="18"/>
      <c r="E237" s="19"/>
      <c r="F237" s="10"/>
    </row>
    <row r="238" spans="2:6" ht="12" customHeight="1">
      <c r="B238" s="7"/>
      <c r="C238" s="17">
        <v>231</v>
      </c>
      <c r="D238" s="18"/>
      <c r="E238" s="19"/>
      <c r="F238" s="10"/>
    </row>
    <row r="239" spans="2:6" ht="12" customHeight="1">
      <c r="B239" s="7"/>
      <c r="C239" s="17">
        <v>232</v>
      </c>
      <c r="D239" s="18"/>
      <c r="E239" s="19"/>
      <c r="F239" s="10"/>
    </row>
    <row r="240" spans="2:6" ht="12" customHeight="1">
      <c r="B240" s="7"/>
      <c r="C240" s="17">
        <v>233</v>
      </c>
      <c r="D240" s="18"/>
      <c r="E240" s="19"/>
      <c r="F240" s="10"/>
    </row>
    <row r="241" spans="2:6" ht="12" customHeight="1">
      <c r="B241" s="7"/>
      <c r="C241" s="17">
        <v>234</v>
      </c>
      <c r="D241" s="18"/>
      <c r="E241" s="19"/>
      <c r="F241" s="10"/>
    </row>
    <row r="242" spans="2:6" ht="12" customHeight="1">
      <c r="B242" s="7"/>
      <c r="C242" s="17">
        <v>235</v>
      </c>
      <c r="D242" s="18"/>
      <c r="E242" s="19"/>
      <c r="F242" s="10"/>
    </row>
    <row r="243" spans="2:6" ht="12" customHeight="1">
      <c r="B243" s="7"/>
      <c r="C243" s="17">
        <v>236</v>
      </c>
      <c r="D243" s="18"/>
      <c r="E243" s="19"/>
      <c r="F243" s="10"/>
    </row>
    <row r="244" spans="2:6" ht="12" customHeight="1">
      <c r="B244" s="7"/>
      <c r="C244" s="17">
        <v>237</v>
      </c>
      <c r="D244" s="18"/>
      <c r="E244" s="19"/>
      <c r="F244" s="10"/>
    </row>
    <row r="245" spans="2:6" ht="12" customHeight="1">
      <c r="B245" s="7"/>
      <c r="C245" s="17">
        <v>238</v>
      </c>
      <c r="D245" s="18"/>
      <c r="E245" s="19"/>
      <c r="F245" s="10"/>
    </row>
    <row r="246" spans="2:6" ht="12" customHeight="1">
      <c r="B246" s="7"/>
      <c r="C246" s="17">
        <v>239</v>
      </c>
      <c r="D246" s="18"/>
      <c r="E246" s="19"/>
      <c r="F246" s="10"/>
    </row>
    <row r="247" spans="2:6" ht="12" customHeight="1">
      <c r="B247" s="7"/>
      <c r="C247" s="17">
        <v>240</v>
      </c>
      <c r="D247" s="18"/>
      <c r="E247" s="19"/>
      <c r="F247" s="10"/>
    </row>
    <row r="248" spans="2:6" ht="12" customHeight="1">
      <c r="B248" s="7"/>
      <c r="C248" s="17">
        <v>241</v>
      </c>
      <c r="D248" s="18"/>
      <c r="E248" s="19"/>
      <c r="F248" s="10"/>
    </row>
    <row r="249" spans="2:6" ht="12" customHeight="1">
      <c r="B249" s="7"/>
      <c r="C249" s="17">
        <v>242</v>
      </c>
      <c r="D249" s="18"/>
      <c r="E249" s="19"/>
      <c r="F249" s="10"/>
    </row>
    <row r="250" spans="2:6" ht="12" customHeight="1">
      <c r="B250" s="7"/>
      <c r="C250" s="17">
        <v>243</v>
      </c>
      <c r="D250" s="18"/>
      <c r="E250" s="19"/>
      <c r="F250" s="10"/>
    </row>
    <row r="251" spans="2:6" ht="12" customHeight="1">
      <c r="B251" s="7"/>
      <c r="C251" s="17">
        <v>244</v>
      </c>
      <c r="D251" s="18"/>
      <c r="E251" s="19"/>
      <c r="F251" s="10"/>
    </row>
    <row r="252" spans="2:6" ht="12" customHeight="1">
      <c r="B252" s="7"/>
      <c r="C252" s="17">
        <v>245</v>
      </c>
      <c r="D252" s="18"/>
      <c r="E252" s="19"/>
      <c r="F252" s="10"/>
    </row>
    <row r="253" spans="2:6" ht="12" customHeight="1">
      <c r="B253" s="7"/>
      <c r="C253" s="17">
        <v>246</v>
      </c>
      <c r="D253" s="18"/>
      <c r="E253" s="19"/>
      <c r="F253" s="10"/>
    </row>
    <row r="254" spans="2:6" ht="12" customHeight="1">
      <c r="B254" s="7"/>
      <c r="C254" s="17">
        <v>247</v>
      </c>
      <c r="D254" s="18"/>
      <c r="E254" s="19"/>
      <c r="F254" s="10"/>
    </row>
    <row r="255" spans="2:6" ht="12" customHeight="1">
      <c r="B255" s="7"/>
      <c r="C255" s="17">
        <v>248</v>
      </c>
      <c r="D255" s="18"/>
      <c r="E255" s="19"/>
      <c r="F255" s="10"/>
    </row>
    <row r="256" spans="2:6" ht="12" customHeight="1">
      <c r="B256" s="7"/>
      <c r="C256" s="17">
        <v>249</v>
      </c>
      <c r="D256" s="18"/>
      <c r="E256" s="19"/>
      <c r="F256" s="10"/>
    </row>
    <row r="257" spans="2:6" ht="12" customHeight="1">
      <c r="B257" s="7"/>
      <c r="C257" s="17">
        <v>250</v>
      </c>
      <c r="D257" s="18"/>
      <c r="E257" s="19"/>
      <c r="F257" s="10"/>
    </row>
    <row r="258" spans="2:6" ht="12" customHeight="1">
      <c r="B258" s="7"/>
      <c r="C258" s="17">
        <v>251</v>
      </c>
      <c r="D258" s="18"/>
      <c r="E258" s="19"/>
      <c r="F258" s="10"/>
    </row>
    <row r="259" spans="2:6" ht="12" customHeight="1">
      <c r="B259" s="7"/>
      <c r="C259" s="17">
        <v>252</v>
      </c>
      <c r="D259" s="18"/>
      <c r="E259" s="19"/>
      <c r="F259" s="10"/>
    </row>
    <row r="260" spans="2:6" ht="12" customHeight="1">
      <c r="B260" s="7"/>
      <c r="C260" s="17">
        <v>253</v>
      </c>
      <c r="D260" s="18"/>
      <c r="E260" s="19"/>
      <c r="F260" s="10"/>
    </row>
    <row r="261" spans="2:6" ht="12" customHeight="1">
      <c r="B261" s="7"/>
      <c r="C261" s="17">
        <v>254</v>
      </c>
      <c r="D261" s="18"/>
      <c r="E261" s="19"/>
      <c r="F261" s="10"/>
    </row>
    <row r="262" spans="2:6" ht="12" customHeight="1">
      <c r="B262" s="7"/>
      <c r="C262" s="17">
        <v>255</v>
      </c>
      <c r="D262" s="18"/>
      <c r="E262" s="19"/>
      <c r="F262" s="10"/>
    </row>
    <row r="263" spans="2:6" ht="12" customHeight="1">
      <c r="B263" s="7"/>
      <c r="C263" s="17">
        <v>256</v>
      </c>
      <c r="D263" s="18"/>
      <c r="E263" s="19"/>
      <c r="F263" s="10"/>
    </row>
    <row r="264" spans="2:6" ht="12" customHeight="1">
      <c r="B264" s="7"/>
      <c r="C264" s="17">
        <v>257</v>
      </c>
      <c r="D264" s="18"/>
      <c r="E264" s="19"/>
      <c r="F264" s="10"/>
    </row>
    <row r="265" spans="2:6" ht="12" customHeight="1">
      <c r="B265" s="7"/>
      <c r="C265" s="17">
        <v>258</v>
      </c>
      <c r="D265" s="18"/>
      <c r="E265" s="19"/>
      <c r="F265" s="10"/>
    </row>
    <row r="266" spans="2:6" ht="12" customHeight="1">
      <c r="B266" s="7"/>
      <c r="C266" s="17">
        <v>259</v>
      </c>
      <c r="D266" s="18"/>
      <c r="E266" s="19"/>
      <c r="F266" s="10"/>
    </row>
    <row r="267" spans="2:6" ht="12" customHeight="1">
      <c r="B267" s="7"/>
      <c r="C267" s="17">
        <v>260</v>
      </c>
      <c r="D267" s="18"/>
      <c r="E267" s="19"/>
      <c r="F267" s="10"/>
    </row>
    <row r="268" spans="2:6" ht="12" customHeight="1">
      <c r="B268" s="7"/>
      <c r="C268" s="17">
        <v>261</v>
      </c>
      <c r="D268" s="18"/>
      <c r="E268" s="19"/>
      <c r="F268" s="10"/>
    </row>
    <row r="269" spans="2:6" ht="12" customHeight="1">
      <c r="B269" s="7"/>
      <c r="C269" s="17">
        <v>262</v>
      </c>
      <c r="D269" s="18"/>
      <c r="E269" s="19"/>
      <c r="F269" s="10"/>
    </row>
    <row r="270" spans="2:6" ht="12" customHeight="1">
      <c r="B270" s="7"/>
      <c r="C270" s="17">
        <v>263</v>
      </c>
      <c r="D270" s="18"/>
      <c r="E270" s="19"/>
      <c r="F270" s="10"/>
    </row>
    <row r="271" spans="2:6" ht="12" customHeight="1">
      <c r="B271" s="7"/>
      <c r="C271" s="17">
        <v>264</v>
      </c>
      <c r="D271" s="18"/>
      <c r="E271" s="19"/>
      <c r="F271" s="10"/>
    </row>
    <row r="272" spans="2:6" ht="12" customHeight="1">
      <c r="B272" s="7"/>
      <c r="C272" s="17">
        <v>265</v>
      </c>
      <c r="D272" s="18"/>
      <c r="E272" s="19"/>
      <c r="F272" s="10"/>
    </row>
    <row r="273" spans="2:6" ht="12" customHeight="1">
      <c r="B273" s="7"/>
      <c r="C273" s="17">
        <v>266</v>
      </c>
      <c r="D273" s="18"/>
      <c r="E273" s="19"/>
      <c r="F273" s="10"/>
    </row>
    <row r="274" spans="2:6" ht="12" customHeight="1">
      <c r="B274" s="7"/>
      <c r="C274" s="17">
        <v>267</v>
      </c>
      <c r="D274" s="18"/>
      <c r="E274" s="19"/>
      <c r="F274" s="10"/>
    </row>
    <row r="275" spans="2:6" ht="12" customHeight="1">
      <c r="B275" s="7"/>
      <c r="C275" s="17">
        <v>268</v>
      </c>
      <c r="D275" s="18"/>
      <c r="E275" s="19"/>
      <c r="F275" s="10"/>
    </row>
    <row r="276" spans="2:6" ht="12" customHeight="1">
      <c r="B276" s="7"/>
      <c r="C276" s="17">
        <v>269</v>
      </c>
      <c r="D276" s="18"/>
      <c r="E276" s="19"/>
      <c r="F276" s="10"/>
    </row>
    <row r="277" spans="2:6" ht="12" customHeight="1">
      <c r="B277" s="7"/>
      <c r="C277" s="17">
        <v>270</v>
      </c>
      <c r="D277" s="18"/>
      <c r="E277" s="19"/>
      <c r="F277" s="10"/>
    </row>
    <row r="278" spans="2:6" ht="12" customHeight="1">
      <c r="B278" s="7"/>
      <c r="C278" s="17">
        <v>271</v>
      </c>
      <c r="D278" s="18"/>
      <c r="E278" s="19"/>
      <c r="F278" s="10"/>
    </row>
    <row r="279" spans="2:6" ht="12" customHeight="1">
      <c r="B279" s="7"/>
      <c r="C279" s="17">
        <v>272</v>
      </c>
      <c r="D279" s="18"/>
      <c r="E279" s="19"/>
      <c r="F279" s="10"/>
    </row>
    <row r="280" spans="2:6" ht="12" customHeight="1">
      <c r="B280" s="7"/>
      <c r="C280" s="17">
        <v>273</v>
      </c>
      <c r="D280" s="18"/>
      <c r="E280" s="19"/>
      <c r="F280" s="10"/>
    </row>
    <row r="281" spans="2:6" ht="12" customHeight="1">
      <c r="B281" s="7"/>
      <c r="C281" s="17">
        <v>274</v>
      </c>
      <c r="D281" s="18"/>
      <c r="E281" s="19"/>
      <c r="F281" s="10"/>
    </row>
    <row r="282" spans="2:6" ht="12" customHeight="1">
      <c r="B282" s="7"/>
      <c r="C282" s="17">
        <v>275</v>
      </c>
      <c r="D282" s="18"/>
      <c r="E282" s="19"/>
      <c r="F282" s="10"/>
    </row>
    <row r="283" spans="2:6" ht="12" customHeight="1">
      <c r="B283" s="7"/>
      <c r="C283" s="17">
        <v>276</v>
      </c>
      <c r="D283" s="18"/>
      <c r="E283" s="19"/>
      <c r="F283" s="10"/>
    </row>
    <row r="284" spans="2:6" ht="12" customHeight="1">
      <c r="B284" s="7"/>
      <c r="C284" s="17">
        <v>277</v>
      </c>
      <c r="D284" s="18"/>
      <c r="E284" s="19"/>
      <c r="F284" s="10"/>
    </row>
    <row r="285" spans="2:6" ht="12" customHeight="1">
      <c r="B285" s="7"/>
      <c r="C285" s="17">
        <v>278</v>
      </c>
      <c r="D285" s="18"/>
      <c r="E285" s="19"/>
      <c r="F285" s="10"/>
    </row>
    <row r="286" spans="2:6" ht="12" customHeight="1">
      <c r="B286" s="7"/>
      <c r="C286" s="17">
        <v>279</v>
      </c>
      <c r="D286" s="18"/>
      <c r="E286" s="19"/>
      <c r="F286" s="10"/>
    </row>
    <row r="287" spans="2:6" ht="12" customHeight="1">
      <c r="B287" s="7"/>
      <c r="C287" s="17">
        <v>280</v>
      </c>
      <c r="D287" s="18"/>
      <c r="E287" s="19"/>
      <c r="F287" s="10"/>
    </row>
    <row r="288" spans="2:6" ht="12" customHeight="1">
      <c r="B288" s="7"/>
      <c r="C288" s="17">
        <v>281</v>
      </c>
      <c r="D288" s="18"/>
      <c r="E288" s="19"/>
      <c r="F288" s="10"/>
    </row>
    <row r="289" spans="2:6" ht="12" customHeight="1">
      <c r="B289" s="7"/>
      <c r="C289" s="17">
        <v>282</v>
      </c>
      <c r="D289" s="18"/>
      <c r="E289" s="19"/>
      <c r="F289" s="10"/>
    </row>
    <row r="290" spans="2:6" ht="12" customHeight="1">
      <c r="B290" s="7"/>
      <c r="C290" s="17">
        <v>283</v>
      </c>
      <c r="D290" s="18"/>
      <c r="E290" s="19"/>
      <c r="F290" s="10"/>
    </row>
    <row r="291" spans="2:6" ht="12" customHeight="1">
      <c r="B291" s="7"/>
      <c r="C291" s="17">
        <v>284</v>
      </c>
      <c r="D291" s="18"/>
      <c r="E291" s="19"/>
      <c r="F291" s="10"/>
    </row>
    <row r="292" spans="2:6" ht="12" customHeight="1">
      <c r="B292" s="7"/>
      <c r="C292" s="17">
        <v>285</v>
      </c>
      <c r="D292" s="18"/>
      <c r="E292" s="19"/>
      <c r="F292" s="10"/>
    </row>
    <row r="293" spans="2:6" ht="12" customHeight="1">
      <c r="B293" s="7"/>
      <c r="C293" s="17">
        <v>286</v>
      </c>
      <c r="D293" s="18"/>
      <c r="E293" s="19"/>
      <c r="F293" s="10"/>
    </row>
    <row r="294" spans="2:6" ht="12" customHeight="1">
      <c r="B294" s="7"/>
      <c r="C294" s="17">
        <v>287</v>
      </c>
      <c r="D294" s="18"/>
      <c r="E294" s="19"/>
      <c r="F294" s="10"/>
    </row>
    <row r="295" spans="2:6" ht="12" customHeight="1">
      <c r="B295" s="7"/>
      <c r="C295" s="17">
        <v>288</v>
      </c>
      <c r="D295" s="18"/>
      <c r="E295" s="19"/>
      <c r="F295" s="10"/>
    </row>
    <row r="296" spans="2:6" ht="12" customHeight="1">
      <c r="B296" s="7"/>
      <c r="C296" s="17">
        <v>289</v>
      </c>
      <c r="D296" s="18"/>
      <c r="E296" s="19"/>
      <c r="F296" s="10"/>
    </row>
    <row r="297" spans="2:6" ht="12" customHeight="1">
      <c r="B297" s="7"/>
      <c r="C297" s="17">
        <v>290</v>
      </c>
      <c r="D297" s="18"/>
      <c r="E297" s="19"/>
      <c r="F297" s="10"/>
    </row>
    <row r="298" spans="2:6" ht="12" customHeight="1">
      <c r="B298" s="7"/>
      <c r="C298" s="17">
        <v>291</v>
      </c>
      <c r="D298" s="18"/>
      <c r="E298" s="19"/>
      <c r="F298" s="10"/>
    </row>
    <row r="299" spans="2:6" ht="12" customHeight="1">
      <c r="B299" s="7"/>
      <c r="C299" s="17">
        <v>292</v>
      </c>
      <c r="D299" s="18"/>
      <c r="E299" s="19"/>
      <c r="F299" s="10"/>
    </row>
    <row r="300" spans="2:6" ht="12" customHeight="1">
      <c r="B300" s="7"/>
      <c r="C300" s="17">
        <v>293</v>
      </c>
      <c r="D300" s="18"/>
      <c r="E300" s="19"/>
      <c r="F300" s="10"/>
    </row>
    <row r="301" spans="2:6" ht="12" customHeight="1">
      <c r="B301" s="7"/>
      <c r="C301" s="17">
        <v>294</v>
      </c>
      <c r="D301" s="18"/>
      <c r="E301" s="19"/>
      <c r="F301" s="10"/>
    </row>
    <row r="302" spans="2:6" ht="12" customHeight="1">
      <c r="B302" s="7"/>
      <c r="C302" s="17">
        <v>295</v>
      </c>
      <c r="D302" s="18"/>
      <c r="E302" s="19"/>
      <c r="F302" s="10"/>
    </row>
    <row r="303" spans="2:6" ht="12" customHeight="1">
      <c r="B303" s="7"/>
      <c r="C303" s="17">
        <v>296</v>
      </c>
      <c r="D303" s="18"/>
      <c r="E303" s="19"/>
      <c r="F303" s="10"/>
    </row>
    <row r="304" spans="2:6" ht="12" customHeight="1">
      <c r="B304" s="7"/>
      <c r="C304" s="17">
        <v>297</v>
      </c>
      <c r="D304" s="18"/>
      <c r="E304" s="19"/>
      <c r="F304" s="10"/>
    </row>
    <row r="305" spans="2:6" ht="12" customHeight="1">
      <c r="B305" s="7"/>
      <c r="C305" s="17">
        <v>298</v>
      </c>
      <c r="D305" s="18"/>
      <c r="E305" s="19"/>
      <c r="F305" s="10"/>
    </row>
    <row r="306" spans="2:6" ht="12" customHeight="1">
      <c r="B306" s="7"/>
      <c r="C306" s="17">
        <v>299</v>
      </c>
      <c r="D306" s="18"/>
      <c r="E306" s="19"/>
      <c r="F306" s="10"/>
    </row>
    <row r="307" spans="2:6" ht="12" customHeight="1">
      <c r="B307" s="7"/>
      <c r="C307" s="17">
        <v>300</v>
      </c>
      <c r="D307" s="18"/>
      <c r="E307" s="19"/>
      <c r="F307" s="10"/>
    </row>
    <row r="308" spans="2:6" ht="12" customHeight="1">
      <c r="B308" s="7"/>
      <c r="C308" s="17">
        <v>301</v>
      </c>
      <c r="D308" s="18"/>
      <c r="E308" s="19"/>
      <c r="F308" s="10"/>
    </row>
    <row r="309" spans="2:6" ht="12" customHeight="1">
      <c r="B309" s="7"/>
      <c r="C309" s="17">
        <v>302</v>
      </c>
      <c r="D309" s="18"/>
      <c r="E309" s="19"/>
      <c r="F309" s="10"/>
    </row>
    <row r="310" spans="2:6" ht="12" customHeight="1">
      <c r="B310" s="7"/>
      <c r="C310" s="17">
        <v>303</v>
      </c>
      <c r="D310" s="18"/>
      <c r="E310" s="19"/>
      <c r="F310" s="10"/>
    </row>
    <row r="311" spans="2:6" ht="12" customHeight="1">
      <c r="B311" s="7"/>
      <c r="C311" s="17">
        <v>304</v>
      </c>
      <c r="D311" s="18"/>
      <c r="E311" s="19"/>
      <c r="F311" s="10"/>
    </row>
    <row r="312" spans="2:6" ht="12" customHeight="1">
      <c r="B312" s="7"/>
      <c r="C312" s="17">
        <v>305</v>
      </c>
      <c r="D312" s="18"/>
      <c r="E312" s="19"/>
      <c r="F312" s="10"/>
    </row>
    <row r="313" spans="2:6" ht="12" customHeight="1">
      <c r="B313" s="7"/>
      <c r="C313" s="17">
        <v>306</v>
      </c>
      <c r="D313" s="18"/>
      <c r="E313" s="19"/>
      <c r="F313" s="10"/>
    </row>
    <row r="314" spans="2:6" ht="12" customHeight="1">
      <c r="B314" s="7"/>
      <c r="C314" s="17">
        <v>307</v>
      </c>
      <c r="D314" s="18"/>
      <c r="E314" s="19"/>
      <c r="F314" s="10"/>
    </row>
    <row r="315" spans="2:6" ht="12" customHeight="1">
      <c r="B315" s="7"/>
      <c r="C315" s="17">
        <v>308</v>
      </c>
      <c r="D315" s="18"/>
      <c r="E315" s="19"/>
      <c r="F315" s="10"/>
    </row>
    <row r="316" spans="2:6" ht="12" customHeight="1">
      <c r="B316" s="7"/>
      <c r="C316" s="17">
        <v>309</v>
      </c>
      <c r="D316" s="18"/>
      <c r="E316" s="19"/>
      <c r="F316" s="10"/>
    </row>
    <row r="317" spans="2:6" ht="12" customHeight="1">
      <c r="B317" s="7"/>
      <c r="C317" s="263">
        <v>310</v>
      </c>
      <c r="D317" s="20"/>
      <c r="E317" s="21"/>
      <c r="F317" s="10"/>
    </row>
    <row r="318" spans="2:6" ht="12" customHeight="1" thickBot="1">
      <c r="B318" s="22"/>
      <c r="C318" s="23"/>
      <c r="D318" s="24"/>
      <c r="E318" s="23"/>
      <c r="F318" s="25"/>
    </row>
    <row r="319" ht="12" customHeight="1">
      <c r="D319" s="2"/>
    </row>
    <row r="320" ht="12" customHeight="1">
      <c r="D320" s="2"/>
    </row>
    <row r="321" ht="12" customHeight="1">
      <c r="D321" s="2"/>
    </row>
    <row r="322" ht="12" customHeight="1">
      <c r="D322" s="2"/>
    </row>
    <row r="323" ht="12" customHeight="1">
      <c r="D323" s="2"/>
    </row>
    <row r="324" ht="12" customHeight="1">
      <c r="D324" s="2"/>
    </row>
    <row r="325" ht="12" customHeight="1">
      <c r="D325" s="2"/>
    </row>
    <row r="326" ht="12" customHeight="1">
      <c r="D326" s="2"/>
    </row>
    <row r="327" ht="12" customHeight="1">
      <c r="D327" s="2"/>
    </row>
    <row r="328" ht="12" customHeight="1">
      <c r="D328" s="2"/>
    </row>
    <row r="329" ht="12" customHeight="1">
      <c r="D329" s="2"/>
    </row>
    <row r="330" ht="12" customHeight="1">
      <c r="D330" s="2"/>
    </row>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sheetData>
  <sheetProtection formatCells="0" formatColumns="0" formatRows="0" insertColumns="0" insertRows="0" insertHyperlinks="0" deleteColumns="0" deleteRows="0" sort="0" autoFilter="0" pivotTables="0"/>
  <mergeCells count="11">
    <mergeCell ref="B1:X1"/>
    <mergeCell ref="C5:E5"/>
    <mergeCell ref="I3:W3"/>
    <mergeCell ref="M6:V6"/>
    <mergeCell ref="I28:Q28"/>
    <mergeCell ref="O16:V16"/>
    <mergeCell ref="I18:V18"/>
    <mergeCell ref="I20:P20"/>
    <mergeCell ref="I26:S26"/>
    <mergeCell ref="O8:Q8"/>
    <mergeCell ref="Q14:V14"/>
  </mergeCells>
  <dataValidations count="5">
    <dataValidation type="list" allowBlank="1" showInputMessage="1" showErrorMessage="1" sqref="M6:V6">
      <formula1>$D$8:$D$317</formula1>
    </dataValidation>
    <dataValidation type="list" allowBlank="1" showInputMessage="1" showErrorMessage="1" sqref="O16:V16">
      <formula1>$AH$27:$AH$30</formula1>
    </dataValidation>
    <dataValidation type="list" allowBlank="1" showInputMessage="1" showErrorMessage="1" sqref="Q23:Q24">
      <formula1>$AH$22:$AH$24</formula1>
    </dataValidation>
    <dataValidation type="list" allowBlank="1" showInputMessage="1" showErrorMessage="1" sqref="Q22">
      <formula1>$AH$22:$AH$23</formula1>
    </dataValidation>
    <dataValidation type="list" allowBlank="1" showInputMessage="1" showErrorMessage="1" sqref="U24">
      <formula1>$AH$24:$AH$25</formula1>
    </dataValidation>
  </dataValidations>
  <printOptions/>
  <pageMargins left="0.75" right="0.75" top="1" bottom="1" header="0.5" footer="0.5"/>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4.xml><?xml version="1.0" encoding="utf-8"?>
<worksheet xmlns="http://schemas.openxmlformats.org/spreadsheetml/2006/main" xmlns:r="http://schemas.openxmlformats.org/officeDocument/2006/relationships">
  <sheetPr>
    <tabColor indexed="57"/>
  </sheetPr>
  <dimension ref="B1:BE175"/>
  <sheetViews>
    <sheetView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2" width="2.75390625" style="48" customWidth="1"/>
    <col min="3" max="3" width="10.375" style="48" customWidth="1"/>
    <col min="4" max="4" width="11.00390625" style="48" customWidth="1"/>
    <col min="5" max="5" width="10.375" style="48" customWidth="1"/>
    <col min="6" max="7" width="2.75390625" style="48" customWidth="1"/>
    <col min="8" max="8" width="8.875" style="48" customWidth="1"/>
    <col min="9" max="9" width="10.25390625" style="48" customWidth="1"/>
    <col min="10" max="10" width="11.375" style="48" customWidth="1"/>
    <col min="11" max="11" width="9.875" style="48" customWidth="1"/>
    <col min="12" max="12" width="10.875" style="48" customWidth="1"/>
    <col min="13" max="13" width="5.875" style="48" customWidth="1"/>
    <col min="14" max="14" width="2.75390625" style="49" customWidth="1"/>
    <col min="15" max="15" width="2.75390625" style="243" customWidth="1"/>
    <col min="16" max="31" width="2.75390625" style="243" hidden="1" customWidth="1"/>
    <col min="32" max="38" width="2.75390625" style="243" customWidth="1"/>
    <col min="39" max="39" width="2.75390625" style="314" customWidth="1"/>
    <col min="40" max="42" width="2.75390625" style="269" customWidth="1"/>
    <col min="43" max="57" width="2.75390625" style="184" customWidth="1"/>
    <col min="58" max="16384" width="2.75390625" style="48" customWidth="1"/>
  </cols>
  <sheetData>
    <row r="1" spans="2:38" ht="12" customHeight="1">
      <c r="B1" s="433" t="s">
        <v>286</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row>
    <row r="2" spans="2:57" s="49" customFormat="1" ht="12" customHeight="1" thickBot="1">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314"/>
      <c r="AN2" s="269"/>
      <c r="AO2" s="269"/>
      <c r="AP2" s="269"/>
      <c r="AQ2" s="184"/>
      <c r="AR2" s="184"/>
      <c r="AS2" s="184"/>
      <c r="AT2" s="184"/>
      <c r="AU2" s="184"/>
      <c r="AV2" s="184"/>
      <c r="AW2" s="184"/>
      <c r="AX2" s="184"/>
      <c r="AY2" s="184"/>
      <c r="AZ2" s="184"/>
      <c r="BA2" s="184"/>
      <c r="BB2" s="184"/>
      <c r="BC2" s="184"/>
      <c r="BD2" s="184"/>
      <c r="BE2" s="184"/>
    </row>
    <row r="3" spans="2:57" s="49" customFormat="1" ht="12" customHeight="1">
      <c r="B3" s="52"/>
      <c r="C3" s="430"/>
      <c r="D3" s="431"/>
      <c r="E3" s="431"/>
      <c r="F3" s="431"/>
      <c r="G3" s="431"/>
      <c r="H3" s="431"/>
      <c r="I3" s="431"/>
      <c r="J3" s="431"/>
      <c r="K3" s="431"/>
      <c r="L3" s="431"/>
      <c r="M3" s="431"/>
      <c r="N3" s="371"/>
      <c r="O3" s="243"/>
      <c r="P3" s="327">
        <f>H10</f>
        <v>44234</v>
      </c>
      <c r="Q3" s="327">
        <f>DATE(YEAR(P3),MONTH(P3),DAY(P3)+1)</f>
        <v>44235</v>
      </c>
      <c r="R3" s="243"/>
      <c r="S3" s="243"/>
      <c r="T3" s="243"/>
      <c r="U3" s="243"/>
      <c r="V3" s="328"/>
      <c r="W3" s="328"/>
      <c r="X3" s="328"/>
      <c r="Y3" s="328"/>
      <c r="Z3" s="329"/>
      <c r="AA3" s="330"/>
      <c r="AB3" s="330"/>
      <c r="AC3" s="243"/>
      <c r="AD3" s="243"/>
      <c r="AE3" s="243"/>
      <c r="AF3" s="243"/>
      <c r="AG3" s="243"/>
      <c r="AH3" s="243"/>
      <c r="AI3" s="243"/>
      <c r="AJ3" s="243"/>
      <c r="AK3" s="243"/>
      <c r="AL3" s="243"/>
      <c r="AM3" s="314"/>
      <c r="AN3" s="269"/>
      <c r="AO3" s="269"/>
      <c r="AP3" s="269"/>
      <c r="AQ3" s="184"/>
      <c r="AR3" s="184"/>
      <c r="AS3" s="184"/>
      <c r="AT3" s="184"/>
      <c r="AU3" s="184"/>
      <c r="AV3" s="184"/>
      <c r="AW3" s="184"/>
      <c r="AX3" s="184"/>
      <c r="AY3" s="184"/>
      <c r="AZ3" s="184"/>
      <c r="BA3" s="184"/>
      <c r="BB3" s="184"/>
      <c r="BC3" s="184"/>
      <c r="BD3" s="184"/>
      <c r="BE3" s="184"/>
    </row>
    <row r="4" spans="2:28" ht="12" customHeight="1">
      <c r="B4" s="53"/>
      <c r="C4" s="434" t="s">
        <v>194</v>
      </c>
      <c r="D4" s="434"/>
      <c r="E4" s="434"/>
      <c r="F4" s="434"/>
      <c r="G4" s="434"/>
      <c r="H4" s="434"/>
      <c r="I4" s="434"/>
      <c r="J4" s="434"/>
      <c r="K4" s="434"/>
      <c r="L4" s="434"/>
      <c r="M4" s="434"/>
      <c r="N4" s="372"/>
      <c r="O4" s="331"/>
      <c r="P4" s="332">
        <f>DATE(YEAR(Q3),MONTH(Q3)+6,DAY(Q3))</f>
        <v>44416</v>
      </c>
      <c r="Q4" s="331"/>
      <c r="R4" s="331"/>
      <c r="S4" s="331"/>
      <c r="T4" s="331"/>
      <c r="U4" s="331"/>
      <c r="V4" s="328"/>
      <c r="W4" s="328"/>
      <c r="X4" s="328"/>
      <c r="Y4" s="328"/>
      <c r="Z4" s="330"/>
      <c r="AA4" s="330"/>
      <c r="AB4" s="330"/>
    </row>
    <row r="5" spans="2:28" ht="12" customHeight="1">
      <c r="B5" s="53"/>
      <c r="C5" s="65" t="s">
        <v>185</v>
      </c>
      <c r="D5" s="60"/>
      <c r="E5" s="60"/>
      <c r="F5" s="60"/>
      <c r="G5" s="60"/>
      <c r="H5" s="60"/>
      <c r="I5" s="60"/>
      <c r="J5" s="60"/>
      <c r="K5" s="59"/>
      <c r="L5" s="59"/>
      <c r="M5" s="34"/>
      <c r="N5" s="372"/>
      <c r="O5" s="331"/>
      <c r="P5" s="331"/>
      <c r="Q5" s="331"/>
      <c r="R5" s="331"/>
      <c r="S5" s="331"/>
      <c r="T5" s="331"/>
      <c r="U5" s="331"/>
      <c r="V5" s="328"/>
      <c r="W5" s="328"/>
      <c r="X5" s="328"/>
      <c r="Y5" s="328"/>
      <c r="Z5" s="330"/>
      <c r="AA5" s="330"/>
      <c r="AB5" s="330"/>
    </row>
    <row r="6" spans="2:28" ht="12" customHeight="1">
      <c r="B6" s="53"/>
      <c r="C6" s="34" t="s">
        <v>117</v>
      </c>
      <c r="D6" s="34"/>
      <c r="E6" s="432" t="str">
        <f>'Исходные данные'!$M$6</f>
        <v>Короленко Елена Владимировна</v>
      </c>
      <c r="F6" s="432"/>
      <c r="G6" s="432"/>
      <c r="H6" s="432"/>
      <c r="I6" s="432"/>
      <c r="J6" s="432"/>
      <c r="K6" s="34"/>
      <c r="L6" s="34"/>
      <c r="M6" s="34"/>
      <c r="N6" s="372"/>
      <c r="O6" s="331"/>
      <c r="P6" s="331"/>
      <c r="Q6" s="331"/>
      <c r="R6" s="331"/>
      <c r="S6" s="331"/>
      <c r="T6" s="331"/>
      <c r="U6" s="331"/>
      <c r="V6" s="328"/>
      <c r="W6" s="328"/>
      <c r="X6" s="328"/>
      <c r="Y6" s="328"/>
      <c r="Z6" s="330"/>
      <c r="AA6" s="330"/>
      <c r="AB6" s="330"/>
    </row>
    <row r="7" spans="2:28" ht="12" customHeight="1">
      <c r="B7" s="53"/>
      <c r="C7" s="34" t="s">
        <v>116</v>
      </c>
      <c r="D7" s="34"/>
      <c r="E7" s="66">
        <f>'Исходные данные'!$O$8</f>
        <v>48</v>
      </c>
      <c r="F7" s="61"/>
      <c r="G7" s="61"/>
      <c r="H7" s="61"/>
      <c r="I7" s="61"/>
      <c r="J7" s="61"/>
      <c r="K7" s="61"/>
      <c r="L7" s="34"/>
      <c r="M7" s="34"/>
      <c r="N7" s="372"/>
      <c r="O7" s="331"/>
      <c r="P7" s="331"/>
      <c r="Q7" s="331"/>
      <c r="R7" s="331"/>
      <c r="S7" s="331"/>
      <c r="T7" s="331"/>
      <c r="U7" s="331"/>
      <c r="V7" s="328"/>
      <c r="W7" s="328"/>
      <c r="X7" s="328"/>
      <c r="Y7" s="328"/>
      <c r="Z7" s="330"/>
      <c r="AA7" s="330"/>
      <c r="AB7" s="330"/>
    </row>
    <row r="8" spans="2:26" ht="12" customHeight="1">
      <c r="B8" s="53"/>
      <c r="C8" s="420" t="s">
        <v>118</v>
      </c>
      <c r="D8" s="420"/>
      <c r="E8" s="438" t="str">
        <f>'Исходные данные'!$Q$14</f>
        <v>Беременность и роды</v>
      </c>
      <c r="F8" s="438"/>
      <c r="G8" s="438"/>
      <c r="H8" s="438"/>
      <c r="I8" s="438"/>
      <c r="J8" s="438"/>
      <c r="K8" s="62"/>
      <c r="L8" s="35"/>
      <c r="M8" s="34"/>
      <c r="N8" s="373"/>
      <c r="O8" s="333"/>
      <c r="P8" s="333"/>
      <c r="Q8" s="333"/>
      <c r="R8" s="333"/>
      <c r="S8" s="333"/>
      <c r="T8" s="333"/>
      <c r="U8" s="334" t="str">
        <f>C21</f>
        <v>Апрель</v>
      </c>
      <c r="V8" s="335" t="str">
        <f>IF($C$21="","",VLOOKUP($C$21,календарь!$C$3:$E$14,3,0))</f>
        <v>Март</v>
      </c>
      <c r="W8" s="243">
        <f>IF(D21=0,"",IF(C21="январь",(D21-1),D21))</f>
        <v>2020</v>
      </c>
      <c r="X8" s="336">
        <f>IF(OR($L$30=0,Z8=""),0,VLOOKUP(Z8,календарь!$F$3:$H$70,2,0))</f>
        <v>1213.6</v>
      </c>
      <c r="Y8" s="337">
        <f>IF($D$21&lt;2015,X8*4,X8*5)</f>
        <v>6068</v>
      </c>
      <c r="Z8" s="338" t="str">
        <f aca="true" t="shared" si="0" ref="Z8:Z13">CONCATENATE(V8,W8)</f>
        <v>Март2020</v>
      </c>
    </row>
    <row r="9" spans="2:26" ht="12" customHeight="1">
      <c r="B9" s="53"/>
      <c r="C9" s="420" t="s">
        <v>165</v>
      </c>
      <c r="D9" s="420"/>
      <c r="E9" s="63" t="s">
        <v>166</v>
      </c>
      <c r="F9" s="423" t="str">
        <f>'Исходные данные'!R10</f>
        <v>АБ</v>
      </c>
      <c r="G9" s="423"/>
      <c r="H9" s="63" t="s">
        <v>167</v>
      </c>
      <c r="I9" s="194" t="str">
        <f>'Исходные данные'!T10</f>
        <v>0245698</v>
      </c>
      <c r="J9" s="34"/>
      <c r="K9" s="34"/>
      <c r="L9" s="34"/>
      <c r="M9" s="34"/>
      <c r="N9" s="373"/>
      <c r="O9" s="333"/>
      <c r="P9" s="333"/>
      <c r="Q9" s="333"/>
      <c r="R9" s="333"/>
      <c r="S9" s="333"/>
      <c r="T9" s="333"/>
      <c r="U9" s="334" t="str">
        <f>C34</f>
        <v>Май</v>
      </c>
      <c r="V9" s="335" t="str">
        <f>IF($C$34="","",VLOOKUP($C$34,календарь!$C$3:$E$14,3,0))</f>
        <v>Апрель</v>
      </c>
      <c r="W9" s="243">
        <f>IF(D34=0,"",IF(C34="январь",(D34-1),D34))</f>
        <v>2020</v>
      </c>
      <c r="X9" s="336">
        <f>IF(OR($L$43=0,Z9=""),0,VLOOKUP(Z9,календарь!$F$3:$H$64,2,0))</f>
        <v>1193.8</v>
      </c>
      <c r="Y9" s="337">
        <f>IF($D$34&lt;2015,X9*4,X9*5)</f>
        <v>5969</v>
      </c>
      <c r="Z9" s="338" t="str">
        <f t="shared" si="0"/>
        <v>Апрель2020</v>
      </c>
    </row>
    <row r="10" spans="2:37" ht="12" customHeight="1">
      <c r="B10" s="53"/>
      <c r="C10" s="46" t="s">
        <v>168</v>
      </c>
      <c r="D10" s="64"/>
      <c r="E10" s="67">
        <f>IF('Исходные данные'!$U$24="нет",'Исходные данные'!$T$26,'Исходные данные'!$T$30)</f>
        <v>44109</v>
      </c>
      <c r="F10" s="421" t="s">
        <v>184</v>
      </c>
      <c r="G10" s="421"/>
      <c r="H10" s="124">
        <f>IF('Исходные данные'!$U$24="нет",'Исходные данные'!$V$26,'Исходные данные'!$V$30)</f>
        <v>44234</v>
      </c>
      <c r="I10" s="97">
        <f>IF('Исходные данные'!$U$24="да","Начало нетрудоспособности","")</f>
      </c>
      <c r="J10" s="196">
        <f>IF('Исходные данные'!U24="да",'Исходные данные'!T28,E10)</f>
        <v>44109</v>
      </c>
      <c r="K10" s="39"/>
      <c r="L10" s="34"/>
      <c r="M10" s="34"/>
      <c r="N10" s="373"/>
      <c r="O10" s="333"/>
      <c r="P10" s="333"/>
      <c r="Q10" s="333"/>
      <c r="R10" s="333"/>
      <c r="S10" s="333"/>
      <c r="T10" s="333"/>
      <c r="U10" s="334" t="str">
        <f>C47</f>
        <v>Июнь</v>
      </c>
      <c r="V10" s="335" t="str">
        <f>IF($C$47="","",VLOOKUP($C$47,календарь!$C$3:$E$14,3,0))</f>
        <v>Май</v>
      </c>
      <c r="W10" s="243">
        <f>IF(D47=0,"",IF(C47="январь",(D47-1),D47))</f>
        <v>2020</v>
      </c>
      <c r="X10" s="336">
        <f>IF(OR($L$56=0,Z10=""),0,VLOOKUP(Z10,календарь!$F$3:$H$64,2,0))</f>
        <v>1227.9</v>
      </c>
      <c r="Y10" s="337">
        <f>IF($D$47&lt;2015,X10*4,X10*5)</f>
        <v>6139.5</v>
      </c>
      <c r="Z10" s="338" t="str">
        <f t="shared" si="0"/>
        <v>Май2020</v>
      </c>
      <c r="AK10" s="267"/>
    </row>
    <row r="11" spans="2:57" s="49" customFormat="1" ht="7.5" customHeight="1">
      <c r="B11" s="54"/>
      <c r="C11" s="422">
        <f>IF('Исходные данные'!$U$22="да","Начало нетрудоспособности","")</f>
      </c>
      <c r="D11" s="422"/>
      <c r="E11" s="183"/>
      <c r="F11" s="37"/>
      <c r="G11" s="38"/>
      <c r="H11" s="38"/>
      <c r="I11" s="39"/>
      <c r="J11" s="36"/>
      <c r="K11" s="36"/>
      <c r="L11" s="36"/>
      <c r="M11" s="36"/>
      <c r="N11" s="374"/>
      <c r="O11" s="243"/>
      <c r="P11" s="243"/>
      <c r="Q11" s="243"/>
      <c r="R11" s="243"/>
      <c r="S11" s="243"/>
      <c r="T11" s="243"/>
      <c r="U11" s="339" t="str">
        <f>C60</f>
        <v>Июль</v>
      </c>
      <c r="V11" s="335" t="str">
        <f>IF($C$60="","",VLOOKUP($C$60,календарь!$C$3:$E$14,3,0))</f>
        <v>Июнь</v>
      </c>
      <c r="W11" s="243">
        <f>IF(D60=0,"",IF(C60="январь",(D60-1),D60))</f>
        <v>2020</v>
      </c>
      <c r="X11" s="336">
        <f>IF(OR($L$69=0,Z11=""),0,VLOOKUP(Z11,календарь!$F$3:$H$64,2,0))</f>
        <v>1248.9</v>
      </c>
      <c r="Y11" s="337">
        <f>IF($D$60&lt;2015,X11*4,X11*5)</f>
        <v>6244.5</v>
      </c>
      <c r="Z11" s="338" t="str">
        <f t="shared" si="0"/>
        <v>Июнь2020</v>
      </c>
      <c r="AA11" s="243"/>
      <c r="AB11" s="243"/>
      <c r="AC11" s="243"/>
      <c r="AD11" s="243"/>
      <c r="AE11" s="243"/>
      <c r="AF11" s="243"/>
      <c r="AG11" s="243"/>
      <c r="AH11" s="243"/>
      <c r="AI11" s="243"/>
      <c r="AJ11" s="243"/>
      <c r="AK11" s="267"/>
      <c r="AL11" s="243"/>
      <c r="AM11" s="314"/>
      <c r="AN11" s="269"/>
      <c r="AO11" s="269"/>
      <c r="AP11" s="269"/>
      <c r="AQ11" s="184"/>
      <c r="AR11" s="184"/>
      <c r="AS11" s="184"/>
      <c r="AT11" s="184"/>
      <c r="AU11" s="184"/>
      <c r="AV11" s="184"/>
      <c r="AW11" s="184"/>
      <c r="AX11" s="184"/>
      <c r="AY11" s="184"/>
      <c r="AZ11" s="184"/>
      <c r="BA11" s="184"/>
      <c r="BB11" s="184"/>
      <c r="BC11" s="184"/>
      <c r="BD11" s="184"/>
      <c r="BE11" s="184"/>
    </row>
    <row r="12" spans="2:57" s="49" customFormat="1" ht="12" customHeight="1">
      <c r="B12" s="54"/>
      <c r="C12" s="439" t="str">
        <f>CONCATENATE('Исходные данные'!$I$22,"  ",'Исходные данные'!$Q$22)</f>
        <v>Расчетный период отработан  полностью</v>
      </c>
      <c r="D12" s="439"/>
      <c r="E12" s="439"/>
      <c r="F12" s="439"/>
      <c r="G12" s="439"/>
      <c r="H12" s="439"/>
      <c r="I12" s="439"/>
      <c r="J12" s="439"/>
      <c r="K12" s="439"/>
      <c r="L12" s="439"/>
      <c r="M12" s="439"/>
      <c r="N12" s="374"/>
      <c r="O12" s="243"/>
      <c r="P12" s="243"/>
      <c r="Q12" s="243"/>
      <c r="R12" s="243"/>
      <c r="S12" s="243"/>
      <c r="T12" s="243"/>
      <c r="U12" s="339" t="str">
        <f>C73</f>
        <v>Август</v>
      </c>
      <c r="V12" s="335" t="str">
        <f>IF($C$73="","",VLOOKUP($C$73,календарь!$C$3:$E$14,3,0))</f>
        <v>Июль</v>
      </c>
      <c r="W12" s="243">
        <f>IF(D73=0,"",IF(C73="январь",(D73-1),D73))</f>
        <v>2020</v>
      </c>
      <c r="X12" s="336">
        <f>IF(OR($L$82=0,Z12=""),0,VLOOKUP(Z12,календарь!$F$3:$H$64,2,0))</f>
        <v>1287.5</v>
      </c>
      <c r="Y12" s="337">
        <f>IF($D$73&lt;2015,X12*4,X12*5)</f>
        <v>6437.5</v>
      </c>
      <c r="Z12" s="338" t="str">
        <f t="shared" si="0"/>
        <v>Июль2020</v>
      </c>
      <c r="AA12" s="243"/>
      <c r="AB12" s="243"/>
      <c r="AC12" s="243"/>
      <c r="AD12" s="243"/>
      <c r="AE12" s="243"/>
      <c r="AF12" s="243"/>
      <c r="AG12" s="243"/>
      <c r="AH12" s="243"/>
      <c r="AI12" s="243"/>
      <c r="AJ12" s="243"/>
      <c r="AK12" s="267"/>
      <c r="AL12" s="243"/>
      <c r="AM12" s="314"/>
      <c r="AN12" s="269"/>
      <c r="AO12" s="269"/>
      <c r="AP12" s="269"/>
      <c r="AQ12" s="184"/>
      <c r="AR12" s="184"/>
      <c r="AS12" s="184"/>
      <c r="AT12" s="184"/>
      <c r="AU12" s="184"/>
      <c r="AV12" s="184"/>
      <c r="AW12" s="184"/>
      <c r="AX12" s="184"/>
      <c r="AY12" s="184"/>
      <c r="AZ12" s="184"/>
      <c r="BA12" s="184"/>
      <c r="BB12" s="184"/>
      <c r="BC12" s="184"/>
      <c r="BD12" s="184"/>
      <c r="BE12" s="184"/>
    </row>
    <row r="13" spans="2:57" s="49" customFormat="1" ht="6" customHeight="1">
      <c r="B13" s="54"/>
      <c r="C13" s="195"/>
      <c r="D13" s="195"/>
      <c r="E13" s="195"/>
      <c r="F13" s="195"/>
      <c r="G13" s="195"/>
      <c r="H13" s="195"/>
      <c r="I13" s="197"/>
      <c r="J13" s="36"/>
      <c r="K13" s="36"/>
      <c r="L13" s="36"/>
      <c r="M13" s="36"/>
      <c r="N13" s="374"/>
      <c r="O13" s="243"/>
      <c r="P13" s="243"/>
      <c r="Q13" s="243"/>
      <c r="R13" s="243"/>
      <c r="S13" s="243"/>
      <c r="T13" s="243"/>
      <c r="U13" s="339" t="str">
        <f>C86</f>
        <v>Сентябрь</v>
      </c>
      <c r="V13" s="335" t="str">
        <f>IF($C$86="","",VLOOKUP($C$86,календарь!$C$3:$E$14,3,0))</f>
        <v>Август</v>
      </c>
      <c r="W13" s="243">
        <f>IF(D86=0,"",IF(C86="январь",(D86-1),D86))</f>
        <v>2020</v>
      </c>
      <c r="X13" s="336">
        <f>IF(OR($L$95=0,Z13=""),0,VLOOKUP(Z13,календарь!$F$3:$H$64,2,0))</f>
        <v>1276.4</v>
      </c>
      <c r="Y13" s="337">
        <f>IF($D$86&lt;2015,X13*4,X13*5)</f>
        <v>6382</v>
      </c>
      <c r="Z13" s="338" t="str">
        <f t="shared" si="0"/>
        <v>Август2020</v>
      </c>
      <c r="AA13" s="243"/>
      <c r="AB13" s="243"/>
      <c r="AC13" s="243"/>
      <c r="AD13" s="243"/>
      <c r="AE13" s="243"/>
      <c r="AF13" s="243"/>
      <c r="AG13" s="243"/>
      <c r="AH13" s="243"/>
      <c r="AI13" s="243"/>
      <c r="AJ13" s="243"/>
      <c r="AK13" s="267"/>
      <c r="AL13" s="243"/>
      <c r="AM13" s="314"/>
      <c r="AN13" s="269"/>
      <c r="AO13" s="269"/>
      <c r="AP13" s="269"/>
      <c r="AQ13" s="184"/>
      <c r="AR13" s="184"/>
      <c r="AS13" s="184"/>
      <c r="AT13" s="184"/>
      <c r="AU13" s="184"/>
      <c r="AV13" s="184"/>
      <c r="AW13" s="184"/>
      <c r="AX13" s="184"/>
      <c r="AY13" s="184"/>
      <c r="AZ13" s="184"/>
      <c r="BA13" s="184"/>
      <c r="BB13" s="184"/>
      <c r="BC13" s="184"/>
      <c r="BD13" s="184"/>
      <c r="BE13" s="184"/>
    </row>
    <row r="14" spans="2:57" s="49" customFormat="1" ht="12" customHeight="1">
      <c r="B14" s="54"/>
      <c r="C14" s="439" t="str">
        <f>IF(OR('Исходные данные'!Z8=1,'Исходные данные'!Z8=3),CONCATENATE('Исходные данные'!$O$16," : ",'Исходные данные'!I20," бел.руб."),'Исходные данные'!$O$16)</f>
        <v>Расчет производится исходя из среднедневного заработка</v>
      </c>
      <c r="D14" s="439"/>
      <c r="E14" s="439"/>
      <c r="F14" s="439"/>
      <c r="G14" s="439"/>
      <c r="H14" s="439"/>
      <c r="I14" s="439"/>
      <c r="J14" s="439"/>
      <c r="K14" s="439"/>
      <c r="L14" s="439"/>
      <c r="M14" s="439"/>
      <c r="N14" s="374"/>
      <c r="O14" s="243"/>
      <c r="P14" s="243"/>
      <c r="Q14" s="243"/>
      <c r="R14" s="243"/>
      <c r="S14" s="243"/>
      <c r="T14" s="243"/>
      <c r="U14" s="243"/>
      <c r="V14" s="335"/>
      <c r="W14" s="243"/>
      <c r="X14" s="340"/>
      <c r="Y14" s="341"/>
      <c r="Z14" s="338"/>
      <c r="AA14" s="243"/>
      <c r="AB14" s="243"/>
      <c r="AC14" s="243"/>
      <c r="AD14" s="243"/>
      <c r="AE14" s="243"/>
      <c r="AF14" s="243"/>
      <c r="AG14" s="243"/>
      <c r="AH14" s="243"/>
      <c r="AI14" s="243"/>
      <c r="AJ14" s="243"/>
      <c r="AK14" s="267"/>
      <c r="AL14" s="243"/>
      <c r="AM14" s="314"/>
      <c r="AN14" s="269"/>
      <c r="AO14" s="269"/>
      <c r="AP14" s="269"/>
      <c r="AQ14" s="184"/>
      <c r="AR14" s="184"/>
      <c r="AS14" s="184"/>
      <c r="AT14" s="184"/>
      <c r="AU14" s="184"/>
      <c r="AV14" s="184"/>
      <c r="AW14" s="184"/>
      <c r="AX14" s="184"/>
      <c r="AY14" s="184"/>
      <c r="AZ14" s="184"/>
      <c r="BA14" s="184"/>
      <c r="BB14" s="184"/>
      <c r="BC14" s="184"/>
      <c r="BD14" s="184"/>
      <c r="BE14" s="184"/>
    </row>
    <row r="15" spans="2:37" ht="1.5" customHeight="1">
      <c r="B15" s="53"/>
      <c r="C15" s="198"/>
      <c r="D15" s="198"/>
      <c r="E15" s="198"/>
      <c r="F15" s="198"/>
      <c r="G15" s="198"/>
      <c r="H15" s="198"/>
      <c r="I15" s="198"/>
      <c r="J15" s="198"/>
      <c r="K15" s="198"/>
      <c r="L15" s="198"/>
      <c r="M15" s="198"/>
      <c r="N15" s="374"/>
      <c r="V15" s="335"/>
      <c r="X15" s="340"/>
      <c r="Y15" s="341"/>
      <c r="Z15" s="338"/>
      <c r="AK15" s="267"/>
    </row>
    <row r="16" spans="2:37" ht="3.75" customHeight="1">
      <c r="B16" s="53"/>
      <c r="C16" s="55"/>
      <c r="D16" s="55"/>
      <c r="E16" s="55"/>
      <c r="F16" s="55"/>
      <c r="G16" s="55"/>
      <c r="H16" s="55"/>
      <c r="I16" s="55"/>
      <c r="J16" s="55"/>
      <c r="K16" s="55"/>
      <c r="L16" s="55"/>
      <c r="M16" s="55"/>
      <c r="N16" s="374"/>
      <c r="V16" s="335"/>
      <c r="X16" s="340"/>
      <c r="Y16" s="341"/>
      <c r="Z16" s="338"/>
      <c r="AK16" s="267"/>
    </row>
    <row r="17" spans="2:37" ht="12" customHeight="1">
      <c r="B17" s="53"/>
      <c r="C17" s="68" t="s">
        <v>186</v>
      </c>
      <c r="D17" s="55"/>
      <c r="E17" s="55"/>
      <c r="F17" s="55"/>
      <c r="G17" s="55"/>
      <c r="H17" s="55"/>
      <c r="I17" s="55"/>
      <c r="J17" s="55"/>
      <c r="K17" s="55"/>
      <c r="L17" s="55"/>
      <c r="M17" s="55"/>
      <c r="N17" s="374"/>
      <c r="V17" s="335"/>
      <c r="X17" s="340"/>
      <c r="Y17" s="341"/>
      <c r="Z17" s="338"/>
      <c r="AK17" s="267"/>
    </row>
    <row r="18" spans="2:37" ht="12" customHeight="1">
      <c r="B18" s="53"/>
      <c r="C18" s="34"/>
      <c r="D18" s="34"/>
      <c r="E18" s="34"/>
      <c r="F18" s="40"/>
      <c r="G18" s="34"/>
      <c r="H18" s="34"/>
      <c r="I18" s="34"/>
      <c r="J18" s="34"/>
      <c r="K18" s="69"/>
      <c r="L18" s="69"/>
      <c r="M18" s="69"/>
      <c r="N18" s="374"/>
      <c r="V18" s="335"/>
      <c r="X18" s="340"/>
      <c r="Y18" s="341"/>
      <c r="Z18" s="338"/>
      <c r="AK18" s="267"/>
    </row>
    <row r="19" spans="2:14" ht="33" customHeight="1">
      <c r="B19" s="53"/>
      <c r="C19" s="440" t="s">
        <v>196</v>
      </c>
      <c r="D19" s="441"/>
      <c r="E19" s="415" t="s">
        <v>195</v>
      </c>
      <c r="F19" s="416"/>
      <c r="G19" s="416"/>
      <c r="H19" s="416"/>
      <c r="I19" s="417"/>
      <c r="J19" s="444" t="s">
        <v>202</v>
      </c>
      <c r="K19" s="444" t="s">
        <v>203</v>
      </c>
      <c r="L19" s="444" t="s">
        <v>204</v>
      </c>
      <c r="M19" s="444" t="s">
        <v>205</v>
      </c>
      <c r="N19" s="374"/>
    </row>
    <row r="20" spans="2:35" ht="24" customHeight="1">
      <c r="B20" s="53"/>
      <c r="C20" s="442"/>
      <c r="D20" s="443"/>
      <c r="E20" s="415" t="s">
        <v>169</v>
      </c>
      <c r="F20" s="416"/>
      <c r="G20" s="416"/>
      <c r="H20" s="417"/>
      <c r="I20" s="72" t="s">
        <v>201</v>
      </c>
      <c r="J20" s="446"/>
      <c r="K20" s="446"/>
      <c r="L20" s="445"/>
      <c r="M20" s="445"/>
      <c r="N20" s="375"/>
      <c r="O20" s="342"/>
      <c r="P20" s="342"/>
      <c r="Q20" s="342"/>
      <c r="R20" s="342"/>
      <c r="S20" s="342"/>
      <c r="T20" s="342"/>
      <c r="U20" s="342"/>
      <c r="V20" s="342"/>
      <c r="W20" s="342"/>
      <c r="X20" s="342"/>
      <c r="Y20" s="342"/>
      <c r="Z20" s="342"/>
      <c r="AA20" s="342"/>
      <c r="AB20" s="342"/>
      <c r="AC20" s="342"/>
      <c r="AD20" s="342"/>
      <c r="AE20" s="342"/>
      <c r="AF20" s="342"/>
      <c r="AG20" s="342"/>
      <c r="AH20" s="342"/>
      <c r="AI20" s="342"/>
    </row>
    <row r="21" spans="2:35" ht="15" customHeight="1">
      <c r="B21" s="53"/>
      <c r="C21" s="70" t="str">
        <f>VLOOKUP(D22,календарь!$B$3:$C$14,2,0)</f>
        <v>Апрель</v>
      </c>
      <c r="D21" s="71">
        <f>IF(C22-6&lt;=0,YEAR($E$10)-1,YEAR($E$10))</f>
        <v>2020</v>
      </c>
      <c r="E21" s="435" t="s">
        <v>206</v>
      </c>
      <c r="F21" s="436"/>
      <c r="G21" s="436"/>
      <c r="H21" s="436"/>
      <c r="I21" s="437"/>
      <c r="J21" s="92"/>
      <c r="K21" s="92"/>
      <c r="L21" s="93"/>
      <c r="M21" s="95"/>
      <c r="N21" s="375"/>
      <c r="O21" s="342"/>
      <c r="P21" s="342"/>
      <c r="Q21" s="342"/>
      <c r="R21" s="342"/>
      <c r="S21" s="342"/>
      <c r="T21" s="342"/>
      <c r="U21" s="342"/>
      <c r="V21" s="342"/>
      <c r="W21" s="342"/>
      <c r="X21" s="342"/>
      <c r="Y21" s="342"/>
      <c r="Z21" s="342"/>
      <c r="AA21" s="271"/>
      <c r="AB21" s="271"/>
      <c r="AC21" s="271"/>
      <c r="AD21" s="342"/>
      <c r="AE21" s="342"/>
      <c r="AF21" s="331"/>
      <c r="AG21" s="342"/>
      <c r="AH21" s="342"/>
      <c r="AI21" s="342"/>
    </row>
    <row r="22" spans="2:35" ht="15" customHeight="1">
      <c r="B22" s="53"/>
      <c r="C22" s="96">
        <f>IF('Исходные данные'!$U$24="нет",MONTH($E$10),MONTH('Исходные данные'!$T$28))</f>
        <v>10</v>
      </c>
      <c r="D22" s="171">
        <f>IF(C22-6&lt;=0,12+(C22-6),C22-6)</f>
        <v>4</v>
      </c>
      <c r="E22" s="424" t="s">
        <v>282</v>
      </c>
      <c r="F22" s="425"/>
      <c r="G22" s="425"/>
      <c r="H22" s="426"/>
      <c r="I22" s="274">
        <v>630</v>
      </c>
      <c r="J22" s="77"/>
      <c r="K22" s="78"/>
      <c r="L22" s="281">
        <f>IF($K$32&gt;0,I22,0)</f>
        <v>630</v>
      </c>
      <c r="M22" s="282"/>
      <c r="N22" s="375"/>
      <c r="O22" s="342"/>
      <c r="P22" s="342"/>
      <c r="Q22" s="342"/>
      <c r="R22" s="342"/>
      <c r="S22" s="342"/>
      <c r="T22" s="342"/>
      <c r="U22" s="342"/>
      <c r="V22" s="342"/>
      <c r="W22" s="342"/>
      <c r="X22" s="342"/>
      <c r="Y22" s="342"/>
      <c r="Z22" s="342"/>
      <c r="AA22" s="342"/>
      <c r="AB22" s="342"/>
      <c r="AC22" s="342"/>
      <c r="AD22" s="342"/>
      <c r="AE22" s="342"/>
      <c r="AF22" s="331"/>
      <c r="AG22" s="342"/>
      <c r="AH22" s="342"/>
      <c r="AI22" s="342"/>
    </row>
    <row r="23" spans="2:35" ht="15" customHeight="1">
      <c r="B23" s="53"/>
      <c r="C23" s="96"/>
      <c r="D23" s="97"/>
      <c r="E23" s="427" t="s">
        <v>170</v>
      </c>
      <c r="F23" s="428"/>
      <c r="G23" s="428"/>
      <c r="H23" s="429"/>
      <c r="I23" s="275">
        <v>80</v>
      </c>
      <c r="J23" s="79"/>
      <c r="K23" s="80"/>
      <c r="L23" s="283">
        <f>IF($K$32&gt;0,I23,0)</f>
        <v>80</v>
      </c>
      <c r="M23" s="282"/>
      <c r="N23" s="375"/>
      <c r="O23" s="342"/>
      <c r="P23" s="342"/>
      <c r="Q23" s="342"/>
      <c r="R23" s="342"/>
      <c r="S23" s="342"/>
      <c r="T23" s="342"/>
      <c r="U23" s="342"/>
      <c r="V23" s="342"/>
      <c r="W23" s="342"/>
      <c r="X23" s="342"/>
      <c r="Y23" s="342"/>
      <c r="Z23" s="342"/>
      <c r="AA23" s="342"/>
      <c r="AB23" s="342"/>
      <c r="AC23" s="342"/>
      <c r="AD23" s="342"/>
      <c r="AE23" s="342"/>
      <c r="AF23" s="331"/>
      <c r="AG23" s="342"/>
      <c r="AH23" s="342"/>
      <c r="AI23" s="342"/>
    </row>
    <row r="24" spans="2:35" ht="15" customHeight="1">
      <c r="B24" s="53"/>
      <c r="C24" s="418" t="s">
        <v>209</v>
      </c>
      <c r="D24" s="172"/>
      <c r="E24" s="427"/>
      <c r="F24" s="428"/>
      <c r="G24" s="428"/>
      <c r="H24" s="429"/>
      <c r="I24" s="276"/>
      <c r="J24" s="79"/>
      <c r="K24" s="80"/>
      <c r="L24" s="283">
        <f>IF($K$32&gt;0,I24,0)</f>
        <v>0</v>
      </c>
      <c r="M24" s="282"/>
      <c r="N24" s="375"/>
      <c r="O24" s="342"/>
      <c r="P24" s="342"/>
      <c r="Q24" s="342"/>
      <c r="R24" s="342"/>
      <c r="S24" s="342"/>
      <c r="T24" s="342"/>
      <c r="U24" s="342"/>
      <c r="V24" s="342"/>
      <c r="W24" s="342"/>
      <c r="X24" s="342"/>
      <c r="Y24" s="342"/>
      <c r="Z24" s="342"/>
      <c r="AA24" s="342"/>
      <c r="AB24" s="342"/>
      <c r="AC24" s="342"/>
      <c r="AD24" s="342"/>
      <c r="AE24" s="342"/>
      <c r="AF24" s="342"/>
      <c r="AG24" s="342"/>
      <c r="AH24" s="342"/>
      <c r="AI24" s="342"/>
    </row>
    <row r="25" spans="2:35" ht="15" customHeight="1">
      <c r="B25" s="53"/>
      <c r="C25" s="418"/>
      <c r="D25" s="172"/>
      <c r="E25" s="447"/>
      <c r="F25" s="448"/>
      <c r="G25" s="448"/>
      <c r="H25" s="449"/>
      <c r="I25" s="277"/>
      <c r="J25" s="81"/>
      <c r="K25" s="82"/>
      <c r="L25" s="284">
        <f>IF($K$32&gt;0,I25,0)</f>
        <v>0</v>
      </c>
      <c r="M25" s="282"/>
      <c r="N25" s="375"/>
      <c r="O25" s="342"/>
      <c r="P25" s="342"/>
      <c r="Q25" s="342"/>
      <c r="R25" s="342"/>
      <c r="S25" s="342"/>
      <c r="T25" s="342"/>
      <c r="U25" s="342"/>
      <c r="V25" s="342"/>
      <c r="W25" s="342"/>
      <c r="X25" s="342"/>
      <c r="Y25" s="342"/>
      <c r="Z25" s="342"/>
      <c r="AA25" s="342"/>
      <c r="AB25" s="342"/>
      <c r="AC25" s="342"/>
      <c r="AD25" s="342"/>
      <c r="AE25" s="342"/>
      <c r="AF25" s="342"/>
      <c r="AG25" s="342"/>
      <c r="AH25" s="342"/>
      <c r="AI25" s="342"/>
    </row>
    <row r="26" spans="2:35" ht="15" customHeight="1">
      <c r="B26" s="53"/>
      <c r="C26" s="418"/>
      <c r="D26" s="171"/>
      <c r="E26" s="435" t="s">
        <v>207</v>
      </c>
      <c r="F26" s="436"/>
      <c r="G26" s="436"/>
      <c r="H26" s="436"/>
      <c r="I26" s="437"/>
      <c r="J26" s="83"/>
      <c r="K26" s="84"/>
      <c r="L26" s="285"/>
      <c r="M26" s="282"/>
      <c r="N26" s="375"/>
      <c r="O26" s="342"/>
      <c r="P26" s="342"/>
      <c r="Q26" s="342"/>
      <c r="R26" s="342"/>
      <c r="S26" s="342"/>
      <c r="T26" s="342"/>
      <c r="U26" s="342"/>
      <c r="V26" s="342"/>
      <c r="W26" s="342"/>
      <c r="X26" s="342"/>
      <c r="Y26" s="342"/>
      <c r="Z26" s="342"/>
      <c r="AA26" s="342"/>
      <c r="AB26" s="342"/>
      <c r="AC26" s="342"/>
      <c r="AD26" s="342"/>
      <c r="AE26" s="342"/>
      <c r="AF26" s="342"/>
      <c r="AG26" s="342"/>
      <c r="AH26" s="342"/>
      <c r="AI26" s="342"/>
    </row>
    <row r="27" spans="2:35" ht="15" customHeight="1">
      <c r="B27" s="53"/>
      <c r="C27" s="418"/>
      <c r="D27" s="171">
        <f>IF(AND($C$21="Февраль",OR($D$21=2016,$D$21=2020)),29,VLOOKUP($C$21,календарь!$C$3:$D$14,2,0))</f>
        <v>30</v>
      </c>
      <c r="E27" s="424" t="s">
        <v>208</v>
      </c>
      <c r="F27" s="425"/>
      <c r="G27" s="425"/>
      <c r="H27" s="426"/>
      <c r="I27" s="278">
        <v>120</v>
      </c>
      <c r="J27" s="73">
        <v>21</v>
      </c>
      <c r="K27" s="74">
        <v>21</v>
      </c>
      <c r="L27" s="286">
        <f>IF(AND($K$27&gt;0,$K$27&lt;$J$27),I27,IF($K$27=0,0,I27/$K$27*$J$27))</f>
        <v>120</v>
      </c>
      <c r="M27" s="282"/>
      <c r="N27" s="375"/>
      <c r="O27" s="342"/>
      <c r="P27" s="342"/>
      <c r="Q27" s="342"/>
      <c r="R27" s="342"/>
      <c r="S27" s="342"/>
      <c r="T27" s="342"/>
      <c r="U27" s="342"/>
      <c r="V27" s="342"/>
      <c r="W27" s="342"/>
      <c r="X27" s="342"/>
      <c r="Y27" s="342"/>
      <c r="Z27" s="342"/>
      <c r="AA27" s="342"/>
      <c r="AB27" s="342"/>
      <c r="AC27" s="342"/>
      <c r="AD27" s="342"/>
      <c r="AE27" s="342"/>
      <c r="AF27" s="342"/>
      <c r="AG27" s="342"/>
      <c r="AH27" s="342"/>
      <c r="AI27" s="342"/>
    </row>
    <row r="28" spans="2:35" ht="15" customHeight="1">
      <c r="B28" s="53"/>
      <c r="C28" s="96"/>
      <c r="D28" s="171"/>
      <c r="E28" s="427"/>
      <c r="F28" s="428"/>
      <c r="G28" s="428"/>
      <c r="H28" s="429"/>
      <c r="I28" s="279"/>
      <c r="J28" s="85"/>
      <c r="K28" s="85"/>
      <c r="L28" s="287">
        <f>IF(AND($K$27&gt;0,$K$27&lt;$J$27),I28,IF($K$27=0,0,I28/$K$27*$J$27))</f>
        <v>0</v>
      </c>
      <c r="M28" s="282"/>
      <c r="N28" s="375"/>
      <c r="O28" s="342"/>
      <c r="P28" s="342"/>
      <c r="Q28" s="342"/>
      <c r="R28" s="342"/>
      <c r="S28" s="342"/>
      <c r="T28" s="342"/>
      <c r="U28" s="342"/>
      <c r="V28" s="342"/>
      <c r="W28" s="342"/>
      <c r="X28" s="342"/>
      <c r="Y28" s="342"/>
      <c r="Z28" s="342"/>
      <c r="AA28" s="342"/>
      <c r="AB28" s="342"/>
      <c r="AC28" s="342"/>
      <c r="AD28" s="342"/>
      <c r="AE28" s="342"/>
      <c r="AF28" s="342"/>
      <c r="AG28" s="342"/>
      <c r="AH28" s="342"/>
      <c r="AI28" s="342"/>
    </row>
    <row r="29" spans="2:35" ht="15" customHeight="1">
      <c r="B29" s="53"/>
      <c r="C29" s="96"/>
      <c r="D29" s="171"/>
      <c r="E29" s="447"/>
      <c r="F29" s="448"/>
      <c r="G29" s="448"/>
      <c r="H29" s="449"/>
      <c r="I29" s="280"/>
      <c r="J29" s="88"/>
      <c r="K29" s="89"/>
      <c r="L29" s="284">
        <f>IF(AND($K$27&gt;0,$K$27&lt;$J$27),I29,IF($K$27=0,0,I29/$K$27*$J$27))</f>
        <v>0</v>
      </c>
      <c r="M29" s="282"/>
      <c r="N29" s="375"/>
      <c r="O29" s="342"/>
      <c r="P29" s="342"/>
      <c r="Q29" s="342"/>
      <c r="R29" s="342"/>
      <c r="S29" s="342"/>
      <c r="T29" s="342"/>
      <c r="U29" s="342"/>
      <c r="V29" s="342"/>
      <c r="W29" s="342"/>
      <c r="X29" s="342"/>
      <c r="Y29" s="342"/>
      <c r="Z29" s="342"/>
      <c r="AA29" s="342"/>
      <c r="AB29" s="342"/>
      <c r="AC29" s="342"/>
      <c r="AD29" s="342"/>
      <c r="AE29" s="342"/>
      <c r="AF29" s="342"/>
      <c r="AG29" s="342"/>
      <c r="AH29" s="342"/>
      <c r="AI29" s="342"/>
    </row>
    <row r="30" spans="2:35" ht="15" customHeight="1">
      <c r="B30" s="53"/>
      <c r="C30" s="451" t="s">
        <v>171</v>
      </c>
      <c r="D30" s="452"/>
      <c r="E30" s="452"/>
      <c r="F30" s="452"/>
      <c r="G30" s="452"/>
      <c r="H30" s="452"/>
      <c r="I30" s="452"/>
      <c r="J30" s="452"/>
      <c r="K30" s="453"/>
      <c r="L30" s="288">
        <f>SUM(L22:L29)</f>
        <v>830</v>
      </c>
      <c r="M30" s="289"/>
      <c r="N30" s="376"/>
      <c r="O30" s="343"/>
      <c r="P30" s="343"/>
      <c r="Q30" s="343"/>
      <c r="R30" s="343"/>
      <c r="S30" s="343"/>
      <c r="T30" s="343"/>
      <c r="U30" s="343"/>
      <c r="V30" s="343"/>
      <c r="W30" s="343"/>
      <c r="X30" s="343"/>
      <c r="Y30" s="343"/>
      <c r="Z30" s="343"/>
      <c r="AA30" s="343"/>
      <c r="AB30" s="342"/>
      <c r="AC30" s="342"/>
      <c r="AD30" s="342"/>
      <c r="AE30" s="342"/>
      <c r="AF30" s="342"/>
      <c r="AG30" s="342"/>
      <c r="AH30" s="342"/>
      <c r="AI30" s="342"/>
    </row>
    <row r="31" spans="2:35" ht="15" customHeight="1">
      <c r="B31" s="53"/>
      <c r="C31" s="454" t="s">
        <v>210</v>
      </c>
      <c r="D31" s="454"/>
      <c r="E31" s="454"/>
      <c r="F31" s="454"/>
      <c r="G31" s="454"/>
      <c r="H31" s="454"/>
      <c r="I31" s="454"/>
      <c r="J31" s="455"/>
      <c r="K31" s="90">
        <v>15</v>
      </c>
      <c r="L31" s="290"/>
      <c r="M31" s="289"/>
      <c r="N31" s="376"/>
      <c r="O31" s="343"/>
      <c r="P31" s="343"/>
      <c r="Q31" s="343"/>
      <c r="R31" s="343"/>
      <c r="S31" s="343"/>
      <c r="T31" s="343"/>
      <c r="U31" s="343"/>
      <c r="V31" s="343"/>
      <c r="W31" s="343"/>
      <c r="X31" s="343"/>
      <c r="Y31" s="343"/>
      <c r="Z31" s="343"/>
      <c r="AA31" s="343"/>
      <c r="AB31" s="342"/>
      <c r="AC31" s="342"/>
      <c r="AD31" s="342"/>
      <c r="AE31" s="342"/>
      <c r="AF31" s="342"/>
      <c r="AG31" s="342"/>
      <c r="AH31" s="342"/>
      <c r="AI31" s="342"/>
    </row>
    <row r="32" spans="2:35" ht="15" customHeight="1">
      <c r="B32" s="53"/>
      <c r="C32" s="419" t="s">
        <v>211</v>
      </c>
      <c r="D32" s="419"/>
      <c r="E32" s="419"/>
      <c r="F32" s="419"/>
      <c r="G32" s="419"/>
      <c r="H32" s="419"/>
      <c r="I32" s="419"/>
      <c r="J32" s="419"/>
      <c r="K32" s="91">
        <f>D27-K31</f>
        <v>15</v>
      </c>
      <c r="L32" s="290"/>
      <c r="M32" s="289"/>
      <c r="N32" s="376"/>
      <c r="O32" s="343"/>
      <c r="P32" s="343"/>
      <c r="Q32" s="343"/>
      <c r="R32" s="343"/>
      <c r="S32" s="343"/>
      <c r="T32" s="343"/>
      <c r="U32" s="343"/>
      <c r="V32" s="343"/>
      <c r="W32" s="343"/>
      <c r="X32" s="343"/>
      <c r="Y32" s="343"/>
      <c r="Z32" s="343"/>
      <c r="AA32" s="343"/>
      <c r="AB32" s="342"/>
      <c r="AC32" s="342"/>
      <c r="AD32" s="342"/>
      <c r="AE32" s="342"/>
      <c r="AF32" s="342"/>
      <c r="AG32" s="342"/>
      <c r="AH32" s="342"/>
      <c r="AI32" s="342"/>
    </row>
    <row r="33" spans="2:35" ht="15" customHeight="1">
      <c r="B33" s="53"/>
      <c r="C33" s="451" t="s">
        <v>172</v>
      </c>
      <c r="D33" s="452"/>
      <c r="E33" s="452"/>
      <c r="F33" s="452"/>
      <c r="G33" s="452"/>
      <c r="H33" s="452"/>
      <c r="I33" s="452"/>
      <c r="J33" s="452"/>
      <c r="K33" s="453"/>
      <c r="L33" s="291">
        <f>IF(L30&gt;M33,M33,L30)</f>
        <v>830</v>
      </c>
      <c r="M33" s="292">
        <f>$Y$8</f>
        <v>6068</v>
      </c>
      <c r="N33" s="376"/>
      <c r="O33" s="343"/>
      <c r="P33" s="343"/>
      <c r="Q33" s="343"/>
      <c r="R33" s="343"/>
      <c r="S33" s="343"/>
      <c r="T33" s="343"/>
      <c r="U33" s="343"/>
      <c r="V33" s="343"/>
      <c r="W33" s="343"/>
      <c r="X33" s="343"/>
      <c r="Y33" s="343"/>
      <c r="Z33" s="343"/>
      <c r="AA33" s="343"/>
      <c r="AB33" s="342"/>
      <c r="AC33" s="342"/>
      <c r="AD33" s="342"/>
      <c r="AE33" s="342"/>
      <c r="AF33" s="342"/>
      <c r="AG33" s="342"/>
      <c r="AH33" s="342"/>
      <c r="AI33" s="342"/>
    </row>
    <row r="34" spans="2:35" ht="15" customHeight="1">
      <c r="B34" s="53"/>
      <c r="C34" s="70" t="str">
        <f>VLOOKUP(D35,календарь!$B$3:$C$14,2,0)</f>
        <v>Май</v>
      </c>
      <c r="D34" s="71">
        <f>IF(C35-5&lt;=0,YEAR($E$10)-1,YEAR($E$10))</f>
        <v>2020</v>
      </c>
      <c r="E34" s="435" t="s">
        <v>206</v>
      </c>
      <c r="F34" s="436"/>
      <c r="G34" s="436"/>
      <c r="H34" s="436"/>
      <c r="I34" s="437"/>
      <c r="J34" s="92"/>
      <c r="K34" s="92"/>
      <c r="L34" s="93"/>
      <c r="M34" s="95"/>
      <c r="N34" s="375"/>
      <c r="O34" s="342"/>
      <c r="P34" s="342"/>
      <c r="Q34" s="342"/>
      <c r="R34" s="342"/>
      <c r="S34" s="342"/>
      <c r="T34" s="342"/>
      <c r="U34" s="342"/>
      <c r="V34" s="342"/>
      <c r="W34" s="342"/>
      <c r="X34" s="342"/>
      <c r="Y34" s="342"/>
      <c r="Z34" s="342"/>
      <c r="AA34" s="271"/>
      <c r="AB34" s="271"/>
      <c r="AC34" s="271"/>
      <c r="AD34" s="342"/>
      <c r="AE34" s="342"/>
      <c r="AF34" s="331"/>
      <c r="AG34" s="342"/>
      <c r="AH34" s="342"/>
      <c r="AI34" s="342"/>
    </row>
    <row r="35" spans="2:35" ht="15" customHeight="1">
      <c r="B35" s="53"/>
      <c r="C35" s="96">
        <f>IF('Исходные данные'!$U$24="нет",MONTH($E$10),MONTH('Исходные данные'!$T$28))</f>
        <v>10</v>
      </c>
      <c r="D35" s="171">
        <f>IF(C35-5&lt;=0,12+(C35-5),C35-5)</f>
        <v>5</v>
      </c>
      <c r="E35" s="424" t="s">
        <v>282</v>
      </c>
      <c r="F35" s="425"/>
      <c r="G35" s="425"/>
      <c r="H35" s="426"/>
      <c r="I35" s="274">
        <v>630</v>
      </c>
      <c r="J35" s="77"/>
      <c r="K35" s="78"/>
      <c r="L35" s="281">
        <f>IF($K$45&gt;0,I35,0)</f>
        <v>630</v>
      </c>
      <c r="M35" s="282"/>
      <c r="N35" s="375"/>
      <c r="O35" s="342"/>
      <c r="P35" s="342"/>
      <c r="Q35" s="342"/>
      <c r="R35" s="342"/>
      <c r="S35" s="342"/>
      <c r="T35" s="342"/>
      <c r="U35" s="342"/>
      <c r="V35" s="342"/>
      <c r="W35" s="342"/>
      <c r="X35" s="342"/>
      <c r="Y35" s="342"/>
      <c r="Z35" s="342"/>
      <c r="AA35" s="342"/>
      <c r="AB35" s="342"/>
      <c r="AC35" s="342"/>
      <c r="AD35" s="342"/>
      <c r="AE35" s="342"/>
      <c r="AF35" s="331"/>
      <c r="AG35" s="342"/>
      <c r="AH35" s="342"/>
      <c r="AI35" s="342"/>
    </row>
    <row r="36" spans="2:35" ht="15" customHeight="1">
      <c r="B36" s="53"/>
      <c r="C36" s="96"/>
      <c r="D36" s="97"/>
      <c r="E36" s="427" t="s">
        <v>170</v>
      </c>
      <c r="F36" s="428"/>
      <c r="G36" s="428"/>
      <c r="H36" s="429"/>
      <c r="I36" s="275">
        <v>80</v>
      </c>
      <c r="J36" s="79"/>
      <c r="K36" s="80"/>
      <c r="L36" s="283">
        <f>IF($K$45&gt;0,I36,0)</f>
        <v>80</v>
      </c>
      <c r="M36" s="282"/>
      <c r="N36" s="375"/>
      <c r="O36" s="342"/>
      <c r="P36" s="342"/>
      <c r="Q36" s="342"/>
      <c r="R36" s="342"/>
      <c r="S36" s="342"/>
      <c r="T36" s="342"/>
      <c r="U36" s="342"/>
      <c r="V36" s="342"/>
      <c r="W36" s="342"/>
      <c r="X36" s="342"/>
      <c r="Y36" s="342"/>
      <c r="Z36" s="342"/>
      <c r="AA36" s="342"/>
      <c r="AB36" s="342"/>
      <c r="AC36" s="342"/>
      <c r="AD36" s="342"/>
      <c r="AE36" s="342"/>
      <c r="AF36" s="331"/>
      <c r="AG36" s="342"/>
      <c r="AH36" s="342"/>
      <c r="AI36" s="342"/>
    </row>
    <row r="37" spans="2:35" ht="15" customHeight="1">
      <c r="B37" s="53"/>
      <c r="C37" s="418" t="s">
        <v>209</v>
      </c>
      <c r="D37" s="172"/>
      <c r="E37" s="427"/>
      <c r="F37" s="428"/>
      <c r="G37" s="428"/>
      <c r="H37" s="429"/>
      <c r="I37" s="276"/>
      <c r="J37" s="79"/>
      <c r="K37" s="80"/>
      <c r="L37" s="283">
        <f>IF($K$45&gt;0,I37,0)</f>
        <v>0</v>
      </c>
      <c r="M37" s="282"/>
      <c r="N37" s="375"/>
      <c r="O37" s="342"/>
      <c r="P37" s="342"/>
      <c r="Q37" s="342"/>
      <c r="R37" s="342"/>
      <c r="S37" s="342"/>
      <c r="T37" s="342"/>
      <c r="U37" s="342"/>
      <c r="V37" s="342"/>
      <c r="W37" s="342"/>
      <c r="X37" s="342"/>
      <c r="Y37" s="342"/>
      <c r="Z37" s="342"/>
      <c r="AA37" s="342"/>
      <c r="AB37" s="342"/>
      <c r="AC37" s="342"/>
      <c r="AD37" s="342"/>
      <c r="AE37" s="342"/>
      <c r="AF37" s="342"/>
      <c r="AG37" s="342"/>
      <c r="AH37" s="342"/>
      <c r="AI37" s="342"/>
    </row>
    <row r="38" spans="2:35" ht="15" customHeight="1">
      <c r="B38" s="53"/>
      <c r="C38" s="418"/>
      <c r="D38" s="172"/>
      <c r="E38" s="447"/>
      <c r="F38" s="448"/>
      <c r="G38" s="448"/>
      <c r="H38" s="449"/>
      <c r="I38" s="277"/>
      <c r="J38" s="81"/>
      <c r="K38" s="82"/>
      <c r="L38" s="284">
        <f>IF($K$45&gt;0,I38,0)</f>
        <v>0</v>
      </c>
      <c r="M38" s="282"/>
      <c r="N38" s="375"/>
      <c r="O38" s="342"/>
      <c r="P38" s="342"/>
      <c r="Q38" s="342"/>
      <c r="R38" s="342"/>
      <c r="S38" s="342"/>
      <c r="T38" s="342"/>
      <c r="U38" s="342"/>
      <c r="V38" s="342"/>
      <c r="W38" s="342"/>
      <c r="X38" s="342"/>
      <c r="Y38" s="342"/>
      <c r="Z38" s="342"/>
      <c r="AA38" s="342"/>
      <c r="AB38" s="342"/>
      <c r="AC38" s="342"/>
      <c r="AD38" s="342"/>
      <c r="AE38" s="342"/>
      <c r="AF38" s="342"/>
      <c r="AG38" s="342"/>
      <c r="AH38" s="342"/>
      <c r="AI38" s="342"/>
    </row>
    <row r="39" spans="2:35" ht="15" customHeight="1">
      <c r="B39" s="53"/>
      <c r="C39" s="418"/>
      <c r="D39" s="171"/>
      <c r="E39" s="435" t="s">
        <v>207</v>
      </c>
      <c r="F39" s="436"/>
      <c r="G39" s="436"/>
      <c r="H39" s="436"/>
      <c r="I39" s="437"/>
      <c r="J39" s="83"/>
      <c r="K39" s="84"/>
      <c r="L39" s="285"/>
      <c r="M39" s="282"/>
      <c r="N39" s="375"/>
      <c r="O39" s="342"/>
      <c r="P39" s="342"/>
      <c r="Q39" s="342"/>
      <c r="R39" s="342"/>
      <c r="S39" s="342"/>
      <c r="T39" s="342"/>
      <c r="U39" s="342"/>
      <c r="V39" s="342"/>
      <c r="W39" s="342"/>
      <c r="X39" s="342"/>
      <c r="Y39" s="342"/>
      <c r="Z39" s="342"/>
      <c r="AA39" s="342"/>
      <c r="AB39" s="342"/>
      <c r="AC39" s="342"/>
      <c r="AD39" s="342"/>
      <c r="AE39" s="342"/>
      <c r="AF39" s="342"/>
      <c r="AG39" s="342"/>
      <c r="AH39" s="342"/>
      <c r="AI39" s="342"/>
    </row>
    <row r="40" spans="2:35" ht="15" customHeight="1">
      <c r="B40" s="53"/>
      <c r="C40" s="418"/>
      <c r="D40" s="171">
        <f>IF(AND($C$34="Февраль",OR($D$34=2016,$D$34=2020)),29,VLOOKUP($C$34,календарь!$C$3:$D$14,2,0))</f>
        <v>31</v>
      </c>
      <c r="E40" s="424" t="s">
        <v>208</v>
      </c>
      <c r="F40" s="425"/>
      <c r="G40" s="425"/>
      <c r="H40" s="426"/>
      <c r="I40" s="278">
        <v>60</v>
      </c>
      <c r="J40" s="73">
        <v>22</v>
      </c>
      <c r="K40" s="74">
        <v>22</v>
      </c>
      <c r="L40" s="286">
        <f>IF(AND($K$40&gt;0,$K$40&lt;$J$40),I40,IF($K$40=0,0,I40/$K$40*$J$40))</f>
        <v>59.99999999999999</v>
      </c>
      <c r="M40" s="282"/>
      <c r="N40" s="375"/>
      <c r="O40" s="342"/>
      <c r="P40" s="342"/>
      <c r="Q40" s="342"/>
      <c r="R40" s="342"/>
      <c r="S40" s="342"/>
      <c r="T40" s="342"/>
      <c r="U40" s="342"/>
      <c r="V40" s="342"/>
      <c r="W40" s="342"/>
      <c r="X40" s="342"/>
      <c r="Y40" s="342"/>
      <c r="Z40" s="342"/>
      <c r="AA40" s="342"/>
      <c r="AB40" s="342"/>
      <c r="AC40" s="342"/>
      <c r="AD40" s="342"/>
      <c r="AE40" s="342"/>
      <c r="AF40" s="342"/>
      <c r="AG40" s="342"/>
      <c r="AH40" s="342"/>
      <c r="AI40" s="342"/>
    </row>
    <row r="41" spans="2:35" ht="15" customHeight="1">
      <c r="B41" s="53"/>
      <c r="C41" s="96"/>
      <c r="D41" s="171"/>
      <c r="E41" s="427"/>
      <c r="F41" s="428"/>
      <c r="G41" s="428"/>
      <c r="H41" s="429"/>
      <c r="I41" s="279"/>
      <c r="J41" s="85"/>
      <c r="K41" s="85"/>
      <c r="L41" s="287">
        <f>IF(AND($K$40&gt;0,$K$40&lt;$J$40),I41,IF($K$40=0,0,I41/$K$40*$J$40))</f>
        <v>0</v>
      </c>
      <c r="M41" s="282"/>
      <c r="N41" s="375"/>
      <c r="O41" s="342"/>
      <c r="P41" s="342"/>
      <c r="Q41" s="342"/>
      <c r="R41" s="342"/>
      <c r="S41" s="342"/>
      <c r="T41" s="342"/>
      <c r="U41" s="342"/>
      <c r="V41" s="342"/>
      <c r="W41" s="342"/>
      <c r="X41" s="342"/>
      <c r="Y41" s="342"/>
      <c r="Z41" s="342"/>
      <c r="AA41" s="342"/>
      <c r="AB41" s="342"/>
      <c r="AC41" s="342"/>
      <c r="AD41" s="342"/>
      <c r="AE41" s="342"/>
      <c r="AF41" s="342"/>
      <c r="AG41" s="342"/>
      <c r="AH41" s="342"/>
      <c r="AI41" s="342"/>
    </row>
    <row r="42" spans="2:35" ht="15" customHeight="1">
      <c r="B42" s="53"/>
      <c r="C42" s="86"/>
      <c r="D42" s="87"/>
      <c r="E42" s="447"/>
      <c r="F42" s="448"/>
      <c r="G42" s="448"/>
      <c r="H42" s="449"/>
      <c r="I42" s="280"/>
      <c r="J42" s="88"/>
      <c r="K42" s="89"/>
      <c r="L42" s="284">
        <f>IF(AND($K$40&gt;0,$K$40&lt;$J$40),I42,IF($K$40=0,0,I42/$K$40*$J$40))</f>
        <v>0</v>
      </c>
      <c r="M42" s="282"/>
      <c r="N42" s="375"/>
      <c r="O42" s="342"/>
      <c r="P42" s="342"/>
      <c r="Q42" s="342"/>
      <c r="R42" s="342"/>
      <c r="S42" s="342"/>
      <c r="T42" s="342"/>
      <c r="U42" s="342"/>
      <c r="V42" s="342"/>
      <c r="W42" s="342"/>
      <c r="X42" s="342"/>
      <c r="Y42" s="342"/>
      <c r="Z42" s="342"/>
      <c r="AA42" s="342"/>
      <c r="AB42" s="342"/>
      <c r="AC42" s="342"/>
      <c r="AD42" s="342"/>
      <c r="AE42" s="342"/>
      <c r="AF42" s="342"/>
      <c r="AG42" s="342"/>
      <c r="AH42" s="342"/>
      <c r="AI42" s="342"/>
    </row>
    <row r="43" spans="2:35" ht="15" customHeight="1">
      <c r="B43" s="53"/>
      <c r="C43" s="451" t="s">
        <v>171</v>
      </c>
      <c r="D43" s="452"/>
      <c r="E43" s="452"/>
      <c r="F43" s="452"/>
      <c r="G43" s="452"/>
      <c r="H43" s="452"/>
      <c r="I43" s="452"/>
      <c r="J43" s="452"/>
      <c r="K43" s="453"/>
      <c r="L43" s="288">
        <f>SUM(L35:L42)</f>
        <v>770</v>
      </c>
      <c r="M43" s="282"/>
      <c r="N43" s="376"/>
      <c r="O43" s="343"/>
      <c r="P43" s="343"/>
      <c r="Q43" s="343"/>
      <c r="R43" s="343"/>
      <c r="S43" s="343"/>
      <c r="T43" s="343"/>
      <c r="U43" s="343"/>
      <c r="V43" s="343"/>
      <c r="W43" s="343"/>
      <c r="X43" s="343"/>
      <c r="Y43" s="343"/>
      <c r="Z43" s="343"/>
      <c r="AA43" s="343"/>
      <c r="AB43" s="342"/>
      <c r="AC43" s="342"/>
      <c r="AD43" s="342"/>
      <c r="AE43" s="342"/>
      <c r="AF43" s="342"/>
      <c r="AG43" s="342"/>
      <c r="AH43" s="342"/>
      <c r="AI43" s="342"/>
    </row>
    <row r="44" spans="2:35" ht="15" customHeight="1">
      <c r="B44" s="53"/>
      <c r="C44" s="454" t="s">
        <v>210</v>
      </c>
      <c r="D44" s="454"/>
      <c r="E44" s="454"/>
      <c r="F44" s="454"/>
      <c r="G44" s="454"/>
      <c r="H44" s="454"/>
      <c r="I44" s="454"/>
      <c r="J44" s="455"/>
      <c r="K44" s="90"/>
      <c r="L44" s="290"/>
      <c r="M44" s="282"/>
      <c r="N44" s="376"/>
      <c r="O44" s="343"/>
      <c r="P44" s="343"/>
      <c r="Q44" s="343"/>
      <c r="R44" s="343"/>
      <c r="S44" s="343"/>
      <c r="T44" s="343"/>
      <c r="U44" s="343"/>
      <c r="V44" s="343"/>
      <c r="W44" s="343"/>
      <c r="X44" s="343"/>
      <c r="Y44" s="343"/>
      <c r="Z44" s="343"/>
      <c r="AA44" s="343"/>
      <c r="AB44" s="342"/>
      <c r="AC44" s="342"/>
      <c r="AD44" s="342"/>
      <c r="AE44" s="342"/>
      <c r="AF44" s="342"/>
      <c r="AG44" s="342"/>
      <c r="AH44" s="342"/>
      <c r="AI44" s="342"/>
    </row>
    <row r="45" spans="2:35" ht="15" customHeight="1">
      <c r="B45" s="53"/>
      <c r="C45" s="419" t="s">
        <v>211</v>
      </c>
      <c r="D45" s="419"/>
      <c r="E45" s="419"/>
      <c r="F45" s="419"/>
      <c r="G45" s="419"/>
      <c r="H45" s="419"/>
      <c r="I45" s="419"/>
      <c r="J45" s="419"/>
      <c r="K45" s="91">
        <f>D40-K44</f>
        <v>31</v>
      </c>
      <c r="L45" s="290"/>
      <c r="M45" s="282"/>
      <c r="N45" s="376"/>
      <c r="O45" s="343"/>
      <c r="P45" s="343"/>
      <c r="Q45" s="343"/>
      <c r="R45" s="343"/>
      <c r="S45" s="343"/>
      <c r="T45" s="343"/>
      <c r="U45" s="343"/>
      <c r="V45" s="343"/>
      <c r="W45" s="343"/>
      <c r="X45" s="343"/>
      <c r="Y45" s="343"/>
      <c r="Z45" s="343"/>
      <c r="AA45" s="343"/>
      <c r="AB45" s="342"/>
      <c r="AC45" s="342"/>
      <c r="AD45" s="342"/>
      <c r="AE45" s="342"/>
      <c r="AF45" s="342"/>
      <c r="AG45" s="342"/>
      <c r="AH45" s="342"/>
      <c r="AI45" s="342"/>
    </row>
    <row r="46" spans="2:35" ht="15" customHeight="1">
      <c r="B46" s="53"/>
      <c r="C46" s="451" t="s">
        <v>172</v>
      </c>
      <c r="D46" s="452"/>
      <c r="E46" s="452"/>
      <c r="F46" s="452"/>
      <c r="G46" s="452"/>
      <c r="H46" s="452"/>
      <c r="I46" s="452"/>
      <c r="J46" s="452"/>
      <c r="K46" s="453"/>
      <c r="L46" s="291">
        <f>IF(L43&gt;M46,M46,L43)</f>
        <v>770</v>
      </c>
      <c r="M46" s="292">
        <f>$Y$9</f>
        <v>5969</v>
      </c>
      <c r="N46" s="376"/>
      <c r="O46" s="343"/>
      <c r="P46" s="343"/>
      <c r="Q46" s="343"/>
      <c r="R46" s="343"/>
      <c r="S46" s="343"/>
      <c r="T46" s="343"/>
      <c r="U46" s="343"/>
      <c r="V46" s="343"/>
      <c r="W46" s="343"/>
      <c r="X46" s="343"/>
      <c r="Y46" s="343"/>
      <c r="Z46" s="343"/>
      <c r="AA46" s="343"/>
      <c r="AB46" s="342"/>
      <c r="AC46" s="342"/>
      <c r="AD46" s="342"/>
      <c r="AE46" s="342"/>
      <c r="AF46" s="342"/>
      <c r="AG46" s="342"/>
      <c r="AH46" s="342"/>
      <c r="AI46" s="342"/>
    </row>
    <row r="47" spans="2:35" ht="15" customHeight="1">
      <c r="B47" s="53"/>
      <c r="C47" s="70" t="str">
        <f>VLOOKUP(D48,календарь!$B$3:$C$14,2,0)</f>
        <v>Июнь</v>
      </c>
      <c r="D47" s="71">
        <f>IF(C48-4&lt;=0,YEAR($E$10)-1,YEAR($E$10))</f>
        <v>2020</v>
      </c>
      <c r="E47" s="435" t="s">
        <v>206</v>
      </c>
      <c r="F47" s="436"/>
      <c r="G47" s="436"/>
      <c r="H47" s="436"/>
      <c r="I47" s="437"/>
      <c r="J47" s="92"/>
      <c r="K47" s="92"/>
      <c r="L47" s="93"/>
      <c r="M47" s="95"/>
      <c r="N47" s="375"/>
      <c r="O47" s="342"/>
      <c r="P47" s="342"/>
      <c r="Q47" s="342"/>
      <c r="R47" s="342"/>
      <c r="S47" s="342"/>
      <c r="T47" s="342"/>
      <c r="U47" s="342"/>
      <c r="V47" s="342"/>
      <c r="W47" s="342"/>
      <c r="X47" s="342"/>
      <c r="Y47" s="342"/>
      <c r="Z47" s="342"/>
      <c r="AA47" s="271"/>
      <c r="AB47" s="271"/>
      <c r="AC47" s="271"/>
      <c r="AD47" s="342"/>
      <c r="AE47" s="342"/>
      <c r="AF47" s="331"/>
      <c r="AG47" s="342"/>
      <c r="AH47" s="342"/>
      <c r="AI47" s="342"/>
    </row>
    <row r="48" spans="2:35" ht="15" customHeight="1">
      <c r="B48" s="53"/>
      <c r="C48" s="96">
        <f>IF('Исходные данные'!$U$24="нет",MONTH($E$10),MONTH('Исходные данные'!$T$28))</f>
        <v>10</v>
      </c>
      <c r="D48" s="171">
        <f>IF(C48-4&lt;=0,12+(C48-4),C48-4)</f>
        <v>6</v>
      </c>
      <c r="E48" s="424" t="s">
        <v>282</v>
      </c>
      <c r="F48" s="425"/>
      <c r="G48" s="425"/>
      <c r="H48" s="426"/>
      <c r="I48" s="274">
        <v>630</v>
      </c>
      <c r="J48" s="77"/>
      <c r="K48" s="78"/>
      <c r="L48" s="281">
        <f>IF($K$58&gt;0,I48,0)</f>
        <v>630</v>
      </c>
      <c r="M48" s="282"/>
      <c r="N48" s="375"/>
      <c r="O48" s="342"/>
      <c r="P48" s="342"/>
      <c r="Q48" s="342"/>
      <c r="R48" s="342"/>
      <c r="S48" s="342"/>
      <c r="T48" s="342"/>
      <c r="U48" s="342"/>
      <c r="V48" s="342"/>
      <c r="W48" s="342"/>
      <c r="X48" s="342"/>
      <c r="Y48" s="342"/>
      <c r="Z48" s="342"/>
      <c r="AA48" s="342"/>
      <c r="AB48" s="342"/>
      <c r="AC48" s="342"/>
      <c r="AD48" s="342"/>
      <c r="AE48" s="342"/>
      <c r="AF48" s="331"/>
      <c r="AG48" s="342"/>
      <c r="AH48" s="342"/>
      <c r="AI48" s="342"/>
    </row>
    <row r="49" spans="2:35" ht="15" customHeight="1">
      <c r="B49" s="53"/>
      <c r="C49" s="96"/>
      <c r="D49" s="97"/>
      <c r="E49" s="427" t="s">
        <v>170</v>
      </c>
      <c r="F49" s="428"/>
      <c r="G49" s="428"/>
      <c r="H49" s="429"/>
      <c r="I49" s="275">
        <v>80</v>
      </c>
      <c r="J49" s="79"/>
      <c r="K49" s="80"/>
      <c r="L49" s="283">
        <f>IF($K$58&gt;0,I49,0)</f>
        <v>80</v>
      </c>
      <c r="M49" s="282"/>
      <c r="N49" s="375"/>
      <c r="O49" s="342"/>
      <c r="P49" s="342"/>
      <c r="Q49" s="342"/>
      <c r="R49" s="342"/>
      <c r="S49" s="342"/>
      <c r="T49" s="342"/>
      <c r="U49" s="342"/>
      <c r="V49" s="342"/>
      <c r="W49" s="342"/>
      <c r="X49" s="342"/>
      <c r="Y49" s="342"/>
      <c r="Z49" s="342"/>
      <c r="AA49" s="342"/>
      <c r="AB49" s="342"/>
      <c r="AC49" s="342"/>
      <c r="AD49" s="342"/>
      <c r="AE49" s="342"/>
      <c r="AF49" s="331"/>
      <c r="AG49" s="342"/>
      <c r="AH49" s="342"/>
      <c r="AI49" s="342"/>
    </row>
    <row r="50" spans="2:35" ht="15" customHeight="1">
      <c r="B50" s="53"/>
      <c r="C50" s="418" t="s">
        <v>209</v>
      </c>
      <c r="D50" s="172"/>
      <c r="E50" s="427"/>
      <c r="F50" s="428"/>
      <c r="G50" s="428"/>
      <c r="H50" s="429"/>
      <c r="I50" s="276"/>
      <c r="J50" s="79"/>
      <c r="K50" s="80"/>
      <c r="L50" s="283">
        <f>IF($K$58&gt;0,I50,0)</f>
        <v>0</v>
      </c>
      <c r="M50" s="282"/>
      <c r="N50" s="375"/>
      <c r="O50" s="342"/>
      <c r="P50" s="342"/>
      <c r="Q50" s="342"/>
      <c r="R50" s="342"/>
      <c r="S50" s="342"/>
      <c r="T50" s="342"/>
      <c r="U50" s="342"/>
      <c r="V50" s="342"/>
      <c r="W50" s="342"/>
      <c r="X50" s="342"/>
      <c r="Y50" s="342"/>
      <c r="Z50" s="342"/>
      <c r="AA50" s="342"/>
      <c r="AB50" s="342"/>
      <c r="AC50" s="342"/>
      <c r="AD50" s="342"/>
      <c r="AE50" s="342"/>
      <c r="AF50" s="342"/>
      <c r="AG50" s="342"/>
      <c r="AH50" s="342"/>
      <c r="AI50" s="342"/>
    </row>
    <row r="51" spans="2:35" ht="15" customHeight="1">
      <c r="B51" s="53"/>
      <c r="C51" s="418"/>
      <c r="D51" s="172"/>
      <c r="E51" s="447"/>
      <c r="F51" s="448"/>
      <c r="G51" s="448"/>
      <c r="H51" s="449"/>
      <c r="I51" s="277"/>
      <c r="J51" s="81"/>
      <c r="K51" s="82"/>
      <c r="L51" s="284">
        <f>IF($K$58&gt;0,I51,0)</f>
        <v>0</v>
      </c>
      <c r="M51" s="282"/>
      <c r="N51" s="375"/>
      <c r="O51" s="342"/>
      <c r="P51" s="342"/>
      <c r="Q51" s="342"/>
      <c r="R51" s="342"/>
      <c r="S51" s="342"/>
      <c r="T51" s="342"/>
      <c r="U51" s="342"/>
      <c r="V51" s="342"/>
      <c r="W51" s="342"/>
      <c r="X51" s="342"/>
      <c r="Y51" s="342"/>
      <c r="Z51" s="342"/>
      <c r="AA51" s="342"/>
      <c r="AB51" s="342"/>
      <c r="AC51" s="342"/>
      <c r="AD51" s="342"/>
      <c r="AE51" s="342"/>
      <c r="AF51" s="342"/>
      <c r="AG51" s="342"/>
      <c r="AH51" s="342"/>
      <c r="AI51" s="342"/>
    </row>
    <row r="52" spans="2:35" ht="15" customHeight="1">
      <c r="B52" s="53"/>
      <c r="C52" s="418"/>
      <c r="D52" s="171"/>
      <c r="E52" s="435" t="s">
        <v>207</v>
      </c>
      <c r="F52" s="436"/>
      <c r="G52" s="436"/>
      <c r="H52" s="436"/>
      <c r="I52" s="437"/>
      <c r="J52" s="83"/>
      <c r="K52" s="84"/>
      <c r="L52" s="285"/>
      <c r="M52" s="282"/>
      <c r="N52" s="375"/>
      <c r="O52" s="342"/>
      <c r="P52" s="342"/>
      <c r="Q52" s="342"/>
      <c r="R52" s="342"/>
      <c r="S52" s="342"/>
      <c r="T52" s="342"/>
      <c r="U52" s="342"/>
      <c r="V52" s="342"/>
      <c r="W52" s="342"/>
      <c r="X52" s="342"/>
      <c r="Y52" s="342"/>
      <c r="Z52" s="342"/>
      <c r="AA52" s="342"/>
      <c r="AB52" s="342"/>
      <c r="AC52" s="342"/>
      <c r="AD52" s="342"/>
      <c r="AE52" s="342"/>
      <c r="AF52" s="342"/>
      <c r="AG52" s="342"/>
      <c r="AH52" s="342"/>
      <c r="AI52" s="342"/>
    </row>
    <row r="53" spans="2:35" ht="15" customHeight="1">
      <c r="B53" s="53"/>
      <c r="C53" s="418"/>
      <c r="D53" s="171">
        <f>IF(AND($C$47="Февраль",OR($D$47=2016,$D$47=2020)),29,VLOOKUP($C$47,календарь!$C$3:$D$14,2,0))</f>
        <v>30</v>
      </c>
      <c r="E53" s="424" t="s">
        <v>208</v>
      </c>
      <c r="F53" s="425"/>
      <c r="G53" s="425"/>
      <c r="H53" s="426"/>
      <c r="I53" s="278">
        <v>100</v>
      </c>
      <c r="J53" s="73">
        <v>21</v>
      </c>
      <c r="K53" s="74">
        <v>21</v>
      </c>
      <c r="L53" s="286">
        <f>IF(AND($K$53&gt;0,$K$53&lt;$J$53),I53,IF($K$53=0,0,I53/$K$53*$J$53))</f>
        <v>100</v>
      </c>
      <c r="M53" s="282"/>
      <c r="N53" s="375"/>
      <c r="O53" s="342"/>
      <c r="P53" s="342"/>
      <c r="Q53" s="342"/>
      <c r="R53" s="342"/>
      <c r="S53" s="342"/>
      <c r="T53" s="342"/>
      <c r="U53" s="342"/>
      <c r="V53" s="342"/>
      <c r="W53" s="342"/>
      <c r="X53" s="342"/>
      <c r="Y53" s="342"/>
      <c r="Z53" s="342"/>
      <c r="AA53" s="342"/>
      <c r="AB53" s="342"/>
      <c r="AC53" s="342"/>
      <c r="AD53" s="342"/>
      <c r="AE53" s="342"/>
      <c r="AF53" s="342"/>
      <c r="AG53" s="342"/>
      <c r="AH53" s="342"/>
      <c r="AI53" s="342"/>
    </row>
    <row r="54" spans="2:35" ht="15" customHeight="1">
      <c r="B54" s="53"/>
      <c r="C54" s="96"/>
      <c r="D54" s="171"/>
      <c r="E54" s="427"/>
      <c r="F54" s="428"/>
      <c r="G54" s="428"/>
      <c r="H54" s="429"/>
      <c r="I54" s="279"/>
      <c r="J54" s="85"/>
      <c r="K54" s="85"/>
      <c r="L54" s="287">
        <f>IF(AND($K$53&gt;0,$K$53&lt;$J$53),I54,IF($K$53=0,0,I54/$K$53*$J$53))</f>
        <v>0</v>
      </c>
      <c r="M54" s="282"/>
      <c r="N54" s="375"/>
      <c r="O54" s="342"/>
      <c r="P54" s="342"/>
      <c r="Q54" s="342"/>
      <c r="R54" s="342"/>
      <c r="S54" s="342"/>
      <c r="T54" s="342"/>
      <c r="U54" s="342"/>
      <c r="V54" s="342"/>
      <c r="W54" s="342"/>
      <c r="X54" s="342"/>
      <c r="Y54" s="342"/>
      <c r="Z54" s="342"/>
      <c r="AA54" s="342"/>
      <c r="AB54" s="342"/>
      <c r="AC54" s="342"/>
      <c r="AD54" s="342"/>
      <c r="AE54" s="342"/>
      <c r="AF54" s="342"/>
      <c r="AG54" s="342"/>
      <c r="AH54" s="342"/>
      <c r="AI54" s="342"/>
    </row>
    <row r="55" spans="2:35" ht="15" customHeight="1">
      <c r="B55" s="53"/>
      <c r="C55" s="96"/>
      <c r="D55" s="171"/>
      <c r="E55" s="447"/>
      <c r="F55" s="448"/>
      <c r="G55" s="448"/>
      <c r="H55" s="449"/>
      <c r="I55" s="280"/>
      <c r="J55" s="88"/>
      <c r="K55" s="89"/>
      <c r="L55" s="284">
        <f>IF(AND($K$53&gt;0,$K$53&lt;$J$53),I55,IF($K$53=0,0,I55/$K$53*$J$53))</f>
        <v>0</v>
      </c>
      <c r="M55" s="282"/>
      <c r="N55" s="375"/>
      <c r="O55" s="342"/>
      <c r="P55" s="342"/>
      <c r="Q55" s="342"/>
      <c r="R55" s="342"/>
      <c r="S55" s="342"/>
      <c r="T55" s="342"/>
      <c r="U55" s="342"/>
      <c r="V55" s="342"/>
      <c r="W55" s="342"/>
      <c r="X55" s="342"/>
      <c r="Y55" s="342"/>
      <c r="Z55" s="342"/>
      <c r="AA55" s="342"/>
      <c r="AB55" s="342"/>
      <c r="AC55" s="342"/>
      <c r="AD55" s="342"/>
      <c r="AE55" s="342"/>
      <c r="AF55" s="342"/>
      <c r="AG55" s="342"/>
      <c r="AH55" s="342"/>
      <c r="AI55" s="342"/>
    </row>
    <row r="56" spans="2:35" ht="15" customHeight="1">
      <c r="B56" s="53"/>
      <c r="C56" s="451" t="s">
        <v>171</v>
      </c>
      <c r="D56" s="452"/>
      <c r="E56" s="452"/>
      <c r="F56" s="452"/>
      <c r="G56" s="452"/>
      <c r="H56" s="452"/>
      <c r="I56" s="452"/>
      <c r="J56" s="452"/>
      <c r="K56" s="453"/>
      <c r="L56" s="288">
        <f>SUM(L48:L55)</f>
        <v>810</v>
      </c>
      <c r="M56" s="282"/>
      <c r="N56" s="376"/>
      <c r="O56" s="343"/>
      <c r="P56" s="343"/>
      <c r="Q56" s="343"/>
      <c r="R56" s="343"/>
      <c r="S56" s="343"/>
      <c r="T56" s="343"/>
      <c r="U56" s="343"/>
      <c r="V56" s="343"/>
      <c r="W56" s="343"/>
      <c r="X56" s="343"/>
      <c r="Y56" s="343"/>
      <c r="Z56" s="343"/>
      <c r="AA56" s="343"/>
      <c r="AB56" s="342"/>
      <c r="AC56" s="342"/>
      <c r="AD56" s="342"/>
      <c r="AE56" s="342"/>
      <c r="AF56" s="342"/>
      <c r="AG56" s="342"/>
      <c r="AH56" s="342"/>
      <c r="AI56" s="342"/>
    </row>
    <row r="57" spans="2:35" ht="15" customHeight="1">
      <c r="B57" s="53"/>
      <c r="C57" s="454" t="s">
        <v>210</v>
      </c>
      <c r="D57" s="454"/>
      <c r="E57" s="454"/>
      <c r="F57" s="454"/>
      <c r="G57" s="454"/>
      <c r="H57" s="454"/>
      <c r="I57" s="454"/>
      <c r="J57" s="455"/>
      <c r="K57" s="90"/>
      <c r="L57" s="290"/>
      <c r="M57" s="282"/>
      <c r="N57" s="376"/>
      <c r="O57" s="343"/>
      <c r="P57" s="343"/>
      <c r="Q57" s="343"/>
      <c r="R57" s="343"/>
      <c r="S57" s="343"/>
      <c r="T57" s="343"/>
      <c r="U57" s="343"/>
      <c r="V57" s="343"/>
      <c r="W57" s="343"/>
      <c r="X57" s="343"/>
      <c r="Y57" s="343"/>
      <c r="Z57" s="343"/>
      <c r="AA57" s="343"/>
      <c r="AB57" s="342"/>
      <c r="AC57" s="342"/>
      <c r="AD57" s="342"/>
      <c r="AE57" s="342"/>
      <c r="AF57" s="342"/>
      <c r="AG57" s="342"/>
      <c r="AH57" s="342"/>
      <c r="AI57" s="342"/>
    </row>
    <row r="58" spans="2:35" ht="15" customHeight="1">
      <c r="B58" s="53"/>
      <c r="C58" s="419" t="s">
        <v>211</v>
      </c>
      <c r="D58" s="419"/>
      <c r="E58" s="419"/>
      <c r="F58" s="419"/>
      <c r="G58" s="419"/>
      <c r="H58" s="419"/>
      <c r="I58" s="419"/>
      <c r="J58" s="419"/>
      <c r="K58" s="91">
        <f>D53-K57</f>
        <v>30</v>
      </c>
      <c r="L58" s="290"/>
      <c r="M58" s="282"/>
      <c r="N58" s="376"/>
      <c r="O58" s="343"/>
      <c r="P58" s="343"/>
      <c r="Q58" s="343"/>
      <c r="R58" s="343"/>
      <c r="S58" s="343"/>
      <c r="T58" s="343"/>
      <c r="U58" s="343"/>
      <c r="V58" s="343"/>
      <c r="W58" s="343"/>
      <c r="X58" s="343"/>
      <c r="Y58" s="343"/>
      <c r="Z58" s="343"/>
      <c r="AA58" s="343"/>
      <c r="AB58" s="342"/>
      <c r="AC58" s="342"/>
      <c r="AD58" s="342"/>
      <c r="AE58" s="342"/>
      <c r="AF58" s="342"/>
      <c r="AG58" s="342"/>
      <c r="AH58" s="342"/>
      <c r="AI58" s="342"/>
    </row>
    <row r="59" spans="2:35" ht="15" customHeight="1">
      <c r="B59" s="53"/>
      <c r="C59" s="451" t="s">
        <v>172</v>
      </c>
      <c r="D59" s="452"/>
      <c r="E59" s="452"/>
      <c r="F59" s="452"/>
      <c r="G59" s="452"/>
      <c r="H59" s="452"/>
      <c r="I59" s="452"/>
      <c r="J59" s="452"/>
      <c r="K59" s="453"/>
      <c r="L59" s="291">
        <f>IF(L56&gt;M59,M59,L56)</f>
        <v>810</v>
      </c>
      <c r="M59" s="292">
        <f>$Y$10</f>
        <v>6139.5</v>
      </c>
      <c r="N59" s="376"/>
      <c r="O59" s="343"/>
      <c r="P59" s="343"/>
      <c r="Q59" s="343"/>
      <c r="R59" s="343"/>
      <c r="S59" s="343"/>
      <c r="T59" s="343"/>
      <c r="U59" s="343"/>
      <c r="V59" s="343"/>
      <c r="W59" s="343"/>
      <c r="X59" s="343"/>
      <c r="Y59" s="343"/>
      <c r="Z59" s="343"/>
      <c r="AA59" s="343"/>
      <c r="AB59" s="342"/>
      <c r="AC59" s="342"/>
      <c r="AD59" s="342"/>
      <c r="AE59" s="342"/>
      <c r="AF59" s="342"/>
      <c r="AG59" s="342"/>
      <c r="AH59" s="342"/>
      <c r="AI59" s="342"/>
    </row>
    <row r="60" spans="2:35" ht="15" customHeight="1">
      <c r="B60" s="53"/>
      <c r="C60" s="70" t="str">
        <f>VLOOKUP(D61,календарь!$B$3:$C$14,2,0)</f>
        <v>Июль</v>
      </c>
      <c r="D60" s="71">
        <f>IF(C61-3&lt;=0,YEAR($E$10)-1,YEAR($E$10))</f>
        <v>2020</v>
      </c>
      <c r="E60" s="435" t="s">
        <v>206</v>
      </c>
      <c r="F60" s="436"/>
      <c r="G60" s="436"/>
      <c r="H60" s="436"/>
      <c r="I60" s="437"/>
      <c r="J60" s="92"/>
      <c r="K60" s="92"/>
      <c r="L60" s="245"/>
      <c r="M60" s="95"/>
      <c r="N60" s="375"/>
      <c r="O60" s="342"/>
      <c r="P60" s="342"/>
      <c r="Q60" s="342"/>
      <c r="R60" s="342"/>
      <c r="S60" s="342"/>
      <c r="T60" s="342"/>
      <c r="U60" s="342"/>
      <c r="V60" s="342"/>
      <c r="W60" s="342"/>
      <c r="X60" s="342"/>
      <c r="Y60" s="342"/>
      <c r="Z60" s="342"/>
      <c r="AA60" s="271"/>
      <c r="AB60" s="271"/>
      <c r="AC60" s="271"/>
      <c r="AD60" s="342"/>
      <c r="AE60" s="342"/>
      <c r="AF60" s="331"/>
      <c r="AG60" s="342"/>
      <c r="AH60" s="342"/>
      <c r="AI60" s="342"/>
    </row>
    <row r="61" spans="2:35" ht="15" customHeight="1">
      <c r="B61" s="53"/>
      <c r="C61" s="96">
        <f>IF('Исходные данные'!$U$24="нет",MONTH($E$10),MONTH('Исходные данные'!$T$28))</f>
        <v>10</v>
      </c>
      <c r="D61" s="171">
        <f>IF(C61-3&lt;=0,12+(C61-3),C61-3)</f>
        <v>7</v>
      </c>
      <c r="E61" s="424" t="s">
        <v>282</v>
      </c>
      <c r="F61" s="425"/>
      <c r="G61" s="425"/>
      <c r="H61" s="426"/>
      <c r="I61" s="274">
        <v>630</v>
      </c>
      <c r="J61" s="77"/>
      <c r="K61" s="78"/>
      <c r="L61" s="281">
        <f>IF($K$71&gt;0,I61,0)</f>
        <v>630</v>
      </c>
      <c r="M61" s="282"/>
      <c r="N61" s="375"/>
      <c r="O61" s="342"/>
      <c r="P61" s="342"/>
      <c r="Q61" s="342"/>
      <c r="R61" s="342"/>
      <c r="S61" s="342"/>
      <c r="T61" s="342"/>
      <c r="U61" s="342"/>
      <c r="V61" s="342"/>
      <c r="W61" s="342"/>
      <c r="X61" s="342"/>
      <c r="Y61" s="342"/>
      <c r="Z61" s="342"/>
      <c r="AA61" s="342"/>
      <c r="AB61" s="342"/>
      <c r="AC61" s="342"/>
      <c r="AD61" s="342"/>
      <c r="AE61" s="342"/>
      <c r="AF61" s="331"/>
      <c r="AG61" s="342"/>
      <c r="AH61" s="342"/>
      <c r="AI61" s="342"/>
    </row>
    <row r="62" spans="2:35" ht="15" customHeight="1">
      <c r="B62" s="53"/>
      <c r="C62" s="96"/>
      <c r="D62" s="97"/>
      <c r="E62" s="427" t="s">
        <v>170</v>
      </c>
      <c r="F62" s="428"/>
      <c r="G62" s="428"/>
      <c r="H62" s="429"/>
      <c r="I62" s="275">
        <v>80</v>
      </c>
      <c r="J62" s="79"/>
      <c r="K62" s="80"/>
      <c r="L62" s="283">
        <f>IF($K$71&gt;0,I62,0)</f>
        <v>80</v>
      </c>
      <c r="M62" s="282"/>
      <c r="N62" s="375"/>
      <c r="O62" s="342"/>
      <c r="P62" s="342"/>
      <c r="Q62" s="342"/>
      <c r="R62" s="342"/>
      <c r="S62" s="342"/>
      <c r="T62" s="342"/>
      <c r="U62" s="342"/>
      <c r="V62" s="342"/>
      <c r="W62" s="342"/>
      <c r="X62" s="342"/>
      <c r="Y62" s="342"/>
      <c r="Z62" s="342"/>
      <c r="AA62" s="342"/>
      <c r="AB62" s="342"/>
      <c r="AC62" s="342"/>
      <c r="AD62" s="342"/>
      <c r="AE62" s="342"/>
      <c r="AF62" s="331"/>
      <c r="AG62" s="342"/>
      <c r="AH62" s="342"/>
      <c r="AI62" s="342"/>
    </row>
    <row r="63" spans="2:35" ht="15" customHeight="1">
      <c r="B63" s="53"/>
      <c r="C63" s="418" t="s">
        <v>209</v>
      </c>
      <c r="D63" s="172"/>
      <c r="E63" s="427"/>
      <c r="F63" s="428"/>
      <c r="G63" s="428"/>
      <c r="H63" s="429"/>
      <c r="I63" s="276"/>
      <c r="J63" s="79"/>
      <c r="K63" s="80"/>
      <c r="L63" s="283">
        <f>IF($K$71&gt;0,I63,0)</f>
        <v>0</v>
      </c>
      <c r="M63" s="282"/>
      <c r="N63" s="375"/>
      <c r="O63" s="342"/>
      <c r="P63" s="342"/>
      <c r="Q63" s="342"/>
      <c r="R63" s="342"/>
      <c r="S63" s="342"/>
      <c r="T63" s="342"/>
      <c r="U63" s="342"/>
      <c r="V63" s="342"/>
      <c r="W63" s="342"/>
      <c r="X63" s="342"/>
      <c r="Y63" s="342"/>
      <c r="Z63" s="342"/>
      <c r="AA63" s="342"/>
      <c r="AB63" s="342"/>
      <c r="AC63" s="342"/>
      <c r="AD63" s="342"/>
      <c r="AE63" s="342"/>
      <c r="AF63" s="342"/>
      <c r="AG63" s="342"/>
      <c r="AH63" s="342"/>
      <c r="AI63" s="342"/>
    </row>
    <row r="64" spans="2:35" ht="15" customHeight="1">
      <c r="B64" s="53"/>
      <c r="C64" s="418"/>
      <c r="D64" s="172"/>
      <c r="E64" s="447"/>
      <c r="F64" s="448"/>
      <c r="G64" s="448"/>
      <c r="H64" s="449"/>
      <c r="I64" s="277"/>
      <c r="J64" s="81"/>
      <c r="K64" s="82"/>
      <c r="L64" s="284">
        <f>IF($K$71&gt;0,I64,0)</f>
        <v>0</v>
      </c>
      <c r="M64" s="282"/>
      <c r="N64" s="375"/>
      <c r="O64" s="342"/>
      <c r="P64" s="342"/>
      <c r="Q64" s="342"/>
      <c r="R64" s="342"/>
      <c r="S64" s="342"/>
      <c r="T64" s="342"/>
      <c r="U64" s="342"/>
      <c r="V64" s="342"/>
      <c r="W64" s="342"/>
      <c r="X64" s="342"/>
      <c r="Y64" s="342"/>
      <c r="Z64" s="342"/>
      <c r="AA64" s="342"/>
      <c r="AB64" s="342"/>
      <c r="AC64" s="342"/>
      <c r="AD64" s="342"/>
      <c r="AE64" s="342"/>
      <c r="AF64" s="342"/>
      <c r="AG64" s="342"/>
      <c r="AH64" s="342"/>
      <c r="AI64" s="342"/>
    </row>
    <row r="65" spans="2:35" ht="15" customHeight="1">
      <c r="B65" s="53"/>
      <c r="C65" s="418"/>
      <c r="D65" s="171"/>
      <c r="E65" s="435" t="s">
        <v>207</v>
      </c>
      <c r="F65" s="436"/>
      <c r="G65" s="436"/>
      <c r="H65" s="436"/>
      <c r="I65" s="437"/>
      <c r="J65" s="83"/>
      <c r="K65" s="84"/>
      <c r="L65" s="285"/>
      <c r="M65" s="282"/>
      <c r="N65" s="375"/>
      <c r="O65" s="342"/>
      <c r="P65" s="342"/>
      <c r="Q65" s="342"/>
      <c r="R65" s="342"/>
      <c r="S65" s="342"/>
      <c r="T65" s="342"/>
      <c r="U65" s="342"/>
      <c r="V65" s="342"/>
      <c r="W65" s="342"/>
      <c r="X65" s="342"/>
      <c r="Y65" s="342"/>
      <c r="Z65" s="342"/>
      <c r="AA65" s="342"/>
      <c r="AB65" s="342"/>
      <c r="AC65" s="342"/>
      <c r="AD65" s="342"/>
      <c r="AE65" s="342"/>
      <c r="AF65" s="342"/>
      <c r="AG65" s="342"/>
      <c r="AH65" s="342"/>
      <c r="AI65" s="342"/>
    </row>
    <row r="66" spans="2:35" ht="15" customHeight="1">
      <c r="B66" s="53"/>
      <c r="C66" s="418"/>
      <c r="D66" s="171">
        <f>IF(AND($C$60="Февраль",OR($D$60=2016,$D$60=2020)),29,VLOOKUP($C$60,календарь!$C$3:$D$14,2,0))</f>
        <v>31</v>
      </c>
      <c r="E66" s="424" t="s">
        <v>208</v>
      </c>
      <c r="F66" s="425"/>
      <c r="G66" s="425"/>
      <c r="H66" s="426"/>
      <c r="I66" s="278">
        <v>100</v>
      </c>
      <c r="J66" s="73">
        <v>20</v>
      </c>
      <c r="K66" s="74">
        <v>20</v>
      </c>
      <c r="L66" s="286">
        <f>IF(AND($K$66&gt;0,$K$66&lt;$J$66),I66,IF($K$66=0,0,I66/$K$66*$J$66))</f>
        <v>100</v>
      </c>
      <c r="M66" s="282"/>
      <c r="N66" s="375"/>
      <c r="O66" s="342"/>
      <c r="P66" s="342"/>
      <c r="Q66" s="342"/>
      <c r="R66" s="342"/>
      <c r="S66" s="342"/>
      <c r="T66" s="342"/>
      <c r="U66" s="342"/>
      <c r="V66" s="342"/>
      <c r="W66" s="342"/>
      <c r="X66" s="342"/>
      <c r="Y66" s="342"/>
      <c r="Z66" s="342"/>
      <c r="AA66" s="342"/>
      <c r="AB66" s="342"/>
      <c r="AC66" s="342"/>
      <c r="AD66" s="342"/>
      <c r="AE66" s="342"/>
      <c r="AF66" s="342"/>
      <c r="AG66" s="342"/>
      <c r="AH66" s="342"/>
      <c r="AI66" s="342"/>
    </row>
    <row r="67" spans="2:35" ht="15" customHeight="1">
      <c r="B67" s="53"/>
      <c r="C67" s="75"/>
      <c r="D67" s="76"/>
      <c r="E67" s="427"/>
      <c r="F67" s="428"/>
      <c r="G67" s="428"/>
      <c r="H67" s="429"/>
      <c r="I67" s="279"/>
      <c r="J67" s="85"/>
      <c r="K67" s="85"/>
      <c r="L67" s="287">
        <f>IF(AND($K$66&gt;0,$K$66&lt;$J$66),I67,IF($K$66=0,0,I67/$K$66*$J$66))</f>
        <v>0</v>
      </c>
      <c r="M67" s="282"/>
      <c r="N67" s="375"/>
      <c r="O67" s="342"/>
      <c r="P67" s="342"/>
      <c r="Q67" s="342"/>
      <c r="R67" s="342"/>
      <c r="S67" s="342"/>
      <c r="T67" s="342"/>
      <c r="U67" s="342"/>
      <c r="V67" s="342"/>
      <c r="W67" s="342"/>
      <c r="X67" s="342"/>
      <c r="Y67" s="342"/>
      <c r="Z67" s="342"/>
      <c r="AA67" s="342"/>
      <c r="AB67" s="342"/>
      <c r="AC67" s="342"/>
      <c r="AD67" s="342"/>
      <c r="AE67" s="342"/>
      <c r="AF67" s="342"/>
      <c r="AG67" s="342"/>
      <c r="AH67" s="342"/>
      <c r="AI67" s="342"/>
    </row>
    <row r="68" spans="2:35" ht="15" customHeight="1">
      <c r="B68" s="53"/>
      <c r="C68" s="86"/>
      <c r="D68" s="87"/>
      <c r="E68" s="447"/>
      <c r="F68" s="448"/>
      <c r="G68" s="448"/>
      <c r="H68" s="449"/>
      <c r="I68" s="280"/>
      <c r="J68" s="88"/>
      <c r="K68" s="89"/>
      <c r="L68" s="284">
        <f>IF(AND($K$66&gt;0,$K$66&lt;$J$66),I68,IF($K$66=0,0,I68/$K$66*$J$66))</f>
        <v>0</v>
      </c>
      <c r="M68" s="282"/>
      <c r="N68" s="375"/>
      <c r="O68" s="342"/>
      <c r="P68" s="342"/>
      <c r="Q68" s="342"/>
      <c r="R68" s="342"/>
      <c r="S68" s="342"/>
      <c r="T68" s="342"/>
      <c r="U68" s="342"/>
      <c r="V68" s="342"/>
      <c r="W68" s="342"/>
      <c r="X68" s="342"/>
      <c r="Y68" s="342"/>
      <c r="Z68" s="342"/>
      <c r="AA68" s="342"/>
      <c r="AB68" s="342"/>
      <c r="AC68" s="342"/>
      <c r="AD68" s="342"/>
      <c r="AE68" s="342"/>
      <c r="AF68" s="342"/>
      <c r="AG68" s="342"/>
      <c r="AH68" s="342"/>
      <c r="AI68" s="342"/>
    </row>
    <row r="69" spans="2:35" ht="15" customHeight="1">
      <c r="B69" s="53"/>
      <c r="C69" s="451" t="s">
        <v>171</v>
      </c>
      <c r="D69" s="452"/>
      <c r="E69" s="452"/>
      <c r="F69" s="452"/>
      <c r="G69" s="452"/>
      <c r="H69" s="452"/>
      <c r="I69" s="452"/>
      <c r="J69" s="452"/>
      <c r="K69" s="453"/>
      <c r="L69" s="288">
        <f>SUM(L61:L68)</f>
        <v>810</v>
      </c>
      <c r="M69" s="282"/>
      <c r="N69" s="376"/>
      <c r="O69" s="343"/>
      <c r="P69" s="343"/>
      <c r="Q69" s="343"/>
      <c r="R69" s="343"/>
      <c r="S69" s="343"/>
      <c r="T69" s="343"/>
      <c r="U69" s="343"/>
      <c r="V69" s="343"/>
      <c r="W69" s="343"/>
      <c r="X69" s="343"/>
      <c r="Y69" s="343"/>
      <c r="Z69" s="343"/>
      <c r="AA69" s="343"/>
      <c r="AB69" s="342"/>
      <c r="AC69" s="342"/>
      <c r="AD69" s="342"/>
      <c r="AE69" s="342"/>
      <c r="AF69" s="342"/>
      <c r="AG69" s="342"/>
      <c r="AH69" s="342"/>
      <c r="AI69" s="342"/>
    </row>
    <row r="70" spans="2:35" ht="15" customHeight="1">
      <c r="B70" s="53"/>
      <c r="C70" s="454" t="s">
        <v>210</v>
      </c>
      <c r="D70" s="454"/>
      <c r="E70" s="454"/>
      <c r="F70" s="454"/>
      <c r="G70" s="454"/>
      <c r="H70" s="454"/>
      <c r="I70" s="454"/>
      <c r="J70" s="455"/>
      <c r="K70" s="90"/>
      <c r="L70" s="290"/>
      <c r="M70" s="282"/>
      <c r="N70" s="376"/>
      <c r="O70" s="343"/>
      <c r="P70" s="343"/>
      <c r="Q70" s="343"/>
      <c r="R70" s="343"/>
      <c r="S70" s="343"/>
      <c r="T70" s="343"/>
      <c r="U70" s="343"/>
      <c r="V70" s="343"/>
      <c r="W70" s="343"/>
      <c r="X70" s="343"/>
      <c r="Y70" s="343"/>
      <c r="Z70" s="343"/>
      <c r="AA70" s="343"/>
      <c r="AB70" s="342"/>
      <c r="AC70" s="342"/>
      <c r="AD70" s="342"/>
      <c r="AE70" s="342"/>
      <c r="AF70" s="342"/>
      <c r="AG70" s="342"/>
      <c r="AH70" s="342"/>
      <c r="AI70" s="342"/>
    </row>
    <row r="71" spans="2:35" ht="15" customHeight="1">
      <c r="B71" s="53"/>
      <c r="C71" s="419" t="s">
        <v>211</v>
      </c>
      <c r="D71" s="419"/>
      <c r="E71" s="419"/>
      <c r="F71" s="419"/>
      <c r="G71" s="419"/>
      <c r="H71" s="419"/>
      <c r="I71" s="419"/>
      <c r="J71" s="419"/>
      <c r="K71" s="91">
        <f>D66-K70</f>
        <v>31</v>
      </c>
      <c r="L71" s="290"/>
      <c r="M71" s="282"/>
      <c r="N71" s="376"/>
      <c r="O71" s="343"/>
      <c r="P71" s="343"/>
      <c r="Q71" s="343"/>
      <c r="R71" s="343"/>
      <c r="S71" s="343"/>
      <c r="T71" s="343"/>
      <c r="U71" s="343"/>
      <c r="V71" s="343"/>
      <c r="W71" s="343"/>
      <c r="X71" s="343"/>
      <c r="Y71" s="343"/>
      <c r="Z71" s="343"/>
      <c r="AA71" s="343"/>
      <c r="AB71" s="342"/>
      <c r="AC71" s="342"/>
      <c r="AD71" s="342"/>
      <c r="AE71" s="342"/>
      <c r="AF71" s="342"/>
      <c r="AG71" s="342"/>
      <c r="AH71" s="342"/>
      <c r="AI71" s="342"/>
    </row>
    <row r="72" spans="2:35" ht="15" customHeight="1">
      <c r="B72" s="53"/>
      <c r="C72" s="451" t="s">
        <v>172</v>
      </c>
      <c r="D72" s="452"/>
      <c r="E72" s="452"/>
      <c r="F72" s="452"/>
      <c r="G72" s="452"/>
      <c r="H72" s="452"/>
      <c r="I72" s="452"/>
      <c r="J72" s="452"/>
      <c r="K72" s="453"/>
      <c r="L72" s="291">
        <f>IF(L69&gt;M72,M72,L69)</f>
        <v>810</v>
      </c>
      <c r="M72" s="292">
        <f>$Y$11</f>
        <v>6244.5</v>
      </c>
      <c r="N72" s="376"/>
      <c r="O72" s="343"/>
      <c r="P72" s="343"/>
      <c r="Q72" s="343"/>
      <c r="R72" s="343"/>
      <c r="S72" s="343"/>
      <c r="T72" s="343"/>
      <c r="U72" s="343"/>
      <c r="V72" s="343"/>
      <c r="W72" s="343"/>
      <c r="X72" s="343"/>
      <c r="Y72" s="343"/>
      <c r="Z72" s="343"/>
      <c r="AA72" s="343"/>
      <c r="AB72" s="342"/>
      <c r="AC72" s="342"/>
      <c r="AD72" s="342"/>
      <c r="AE72" s="342"/>
      <c r="AF72" s="342"/>
      <c r="AG72" s="342"/>
      <c r="AH72" s="342"/>
      <c r="AI72" s="342"/>
    </row>
    <row r="73" spans="2:35" ht="15" customHeight="1">
      <c r="B73" s="53"/>
      <c r="C73" s="70" t="str">
        <f>VLOOKUP(D74,календарь!$B$3:$C$14,2,0)</f>
        <v>Август</v>
      </c>
      <c r="D73" s="71">
        <f>IF(C74-2&lt;=0,YEAR($E$10)-1,YEAR($E$10))</f>
        <v>2020</v>
      </c>
      <c r="E73" s="435" t="s">
        <v>206</v>
      </c>
      <c r="F73" s="436"/>
      <c r="G73" s="436"/>
      <c r="H73" s="436"/>
      <c r="I73" s="437"/>
      <c r="J73" s="92"/>
      <c r="K73" s="92"/>
      <c r="L73" s="93"/>
      <c r="M73" s="95"/>
      <c r="N73" s="375"/>
      <c r="O73" s="342"/>
      <c r="P73" s="342"/>
      <c r="Q73" s="342"/>
      <c r="R73" s="342"/>
      <c r="S73" s="342"/>
      <c r="T73" s="342"/>
      <c r="U73" s="342"/>
      <c r="V73" s="342"/>
      <c r="W73" s="342"/>
      <c r="X73" s="342"/>
      <c r="Y73" s="342"/>
      <c r="Z73" s="342"/>
      <c r="AA73" s="271"/>
      <c r="AB73" s="271"/>
      <c r="AC73" s="271"/>
      <c r="AD73" s="342"/>
      <c r="AE73" s="342"/>
      <c r="AF73" s="331"/>
      <c r="AG73" s="342"/>
      <c r="AH73" s="342"/>
      <c r="AI73" s="342"/>
    </row>
    <row r="74" spans="2:35" ht="15" customHeight="1">
      <c r="B74" s="53"/>
      <c r="C74" s="96">
        <f>IF('Исходные данные'!$U$24="нет",MONTH($E$10),MONTH('Исходные данные'!$T$28))</f>
        <v>10</v>
      </c>
      <c r="D74" s="171">
        <f>IF(C74-2&lt;=0,12+(C74-2),C74-2)</f>
        <v>8</v>
      </c>
      <c r="E74" s="424" t="s">
        <v>282</v>
      </c>
      <c r="F74" s="425"/>
      <c r="G74" s="425"/>
      <c r="H74" s="426"/>
      <c r="I74" s="274">
        <v>630</v>
      </c>
      <c r="J74" s="77"/>
      <c r="K74" s="78"/>
      <c r="L74" s="281">
        <f>IF($K$84&gt;0,I74,0)</f>
        <v>630</v>
      </c>
      <c r="M74" s="282"/>
      <c r="N74" s="375"/>
      <c r="O74" s="342"/>
      <c r="P74" s="342"/>
      <c r="Q74" s="342"/>
      <c r="R74" s="342"/>
      <c r="S74" s="342"/>
      <c r="T74" s="342"/>
      <c r="U74" s="342"/>
      <c r="V74" s="342"/>
      <c r="W74" s="342"/>
      <c r="X74" s="342"/>
      <c r="Y74" s="342"/>
      <c r="Z74" s="342"/>
      <c r="AA74" s="342"/>
      <c r="AB74" s="342"/>
      <c r="AC74" s="342"/>
      <c r="AD74" s="342"/>
      <c r="AE74" s="342"/>
      <c r="AF74" s="331"/>
      <c r="AG74" s="342"/>
      <c r="AH74" s="342"/>
      <c r="AI74" s="342"/>
    </row>
    <row r="75" spans="2:35" ht="15" customHeight="1">
      <c r="B75" s="53"/>
      <c r="C75" s="96"/>
      <c r="D75" s="97"/>
      <c r="E75" s="427" t="s">
        <v>170</v>
      </c>
      <c r="F75" s="428"/>
      <c r="G75" s="428"/>
      <c r="H75" s="429"/>
      <c r="I75" s="275">
        <v>80</v>
      </c>
      <c r="J75" s="79"/>
      <c r="K75" s="80"/>
      <c r="L75" s="283">
        <f>IF($K$84&gt;0,I75,0)</f>
        <v>80</v>
      </c>
      <c r="M75" s="282"/>
      <c r="N75" s="375"/>
      <c r="O75" s="342"/>
      <c r="P75" s="342"/>
      <c r="Q75" s="342"/>
      <c r="R75" s="342"/>
      <c r="S75" s="342"/>
      <c r="T75" s="342"/>
      <c r="U75" s="342"/>
      <c r="V75" s="342"/>
      <c r="W75" s="342"/>
      <c r="X75" s="342"/>
      <c r="Y75" s="342"/>
      <c r="Z75" s="342"/>
      <c r="AA75" s="342"/>
      <c r="AB75" s="342"/>
      <c r="AC75" s="342"/>
      <c r="AD75" s="342"/>
      <c r="AE75" s="342"/>
      <c r="AF75" s="331"/>
      <c r="AG75" s="342"/>
      <c r="AH75" s="342"/>
      <c r="AI75" s="342"/>
    </row>
    <row r="76" spans="2:35" ht="15" customHeight="1">
      <c r="B76" s="53"/>
      <c r="C76" s="418" t="s">
        <v>209</v>
      </c>
      <c r="D76" s="172"/>
      <c r="E76" s="427"/>
      <c r="F76" s="428"/>
      <c r="G76" s="428"/>
      <c r="H76" s="429"/>
      <c r="I76" s="276"/>
      <c r="J76" s="79"/>
      <c r="K76" s="80"/>
      <c r="L76" s="283">
        <f>IF($K$84&gt;0,I76,0)</f>
        <v>0</v>
      </c>
      <c r="M76" s="282"/>
      <c r="N76" s="375"/>
      <c r="O76" s="342"/>
      <c r="P76" s="342"/>
      <c r="Q76" s="342"/>
      <c r="R76" s="342"/>
      <c r="S76" s="342"/>
      <c r="T76" s="342"/>
      <c r="U76" s="342"/>
      <c r="V76" s="342"/>
      <c r="W76" s="342"/>
      <c r="X76" s="342"/>
      <c r="Y76" s="342"/>
      <c r="Z76" s="342"/>
      <c r="AA76" s="342"/>
      <c r="AB76" s="342"/>
      <c r="AC76" s="342"/>
      <c r="AD76" s="342"/>
      <c r="AE76" s="342"/>
      <c r="AF76" s="342"/>
      <c r="AG76" s="342"/>
      <c r="AH76" s="342"/>
      <c r="AI76" s="342"/>
    </row>
    <row r="77" spans="2:35" ht="15" customHeight="1">
      <c r="B77" s="53"/>
      <c r="C77" s="418"/>
      <c r="D77" s="172"/>
      <c r="E77" s="447"/>
      <c r="F77" s="448"/>
      <c r="G77" s="448"/>
      <c r="H77" s="449"/>
      <c r="I77" s="277"/>
      <c r="J77" s="81"/>
      <c r="K77" s="82"/>
      <c r="L77" s="284">
        <f>IF($K$84&gt;0,I77,0)</f>
        <v>0</v>
      </c>
      <c r="M77" s="282"/>
      <c r="N77" s="375"/>
      <c r="O77" s="342"/>
      <c r="P77" s="342"/>
      <c r="Q77" s="342"/>
      <c r="R77" s="342"/>
      <c r="S77" s="342"/>
      <c r="T77" s="342"/>
      <c r="U77" s="342"/>
      <c r="V77" s="342"/>
      <c r="W77" s="342"/>
      <c r="X77" s="342"/>
      <c r="Y77" s="342"/>
      <c r="Z77" s="342"/>
      <c r="AA77" s="342"/>
      <c r="AB77" s="342"/>
      <c r="AC77" s="342"/>
      <c r="AD77" s="342"/>
      <c r="AE77" s="342"/>
      <c r="AF77" s="342"/>
      <c r="AG77" s="342"/>
      <c r="AH77" s="342"/>
      <c r="AI77" s="342"/>
    </row>
    <row r="78" spans="2:35" ht="15" customHeight="1">
      <c r="B78" s="53"/>
      <c r="C78" s="418"/>
      <c r="D78" s="171"/>
      <c r="E78" s="435" t="s">
        <v>207</v>
      </c>
      <c r="F78" s="436"/>
      <c r="G78" s="436"/>
      <c r="H78" s="436"/>
      <c r="I78" s="437"/>
      <c r="J78" s="83"/>
      <c r="K78" s="84"/>
      <c r="L78" s="285"/>
      <c r="M78" s="282"/>
      <c r="N78" s="375"/>
      <c r="O78" s="342"/>
      <c r="P78" s="342"/>
      <c r="Q78" s="342"/>
      <c r="R78" s="342"/>
      <c r="S78" s="342"/>
      <c r="T78" s="342"/>
      <c r="U78" s="342"/>
      <c r="V78" s="342"/>
      <c r="W78" s="342"/>
      <c r="X78" s="342"/>
      <c r="Y78" s="342"/>
      <c r="Z78" s="342"/>
      <c r="AA78" s="342"/>
      <c r="AB78" s="342"/>
      <c r="AC78" s="342"/>
      <c r="AD78" s="342"/>
      <c r="AE78" s="342"/>
      <c r="AF78" s="342"/>
      <c r="AG78" s="342"/>
      <c r="AH78" s="342"/>
      <c r="AI78" s="342"/>
    </row>
    <row r="79" spans="2:35" ht="15" customHeight="1">
      <c r="B79" s="53"/>
      <c r="C79" s="418"/>
      <c r="D79" s="171">
        <f>IF(AND($C$73="Февраль",OR($D$73=2016,$D$73=2020)),29,VLOOKUP($C$73,календарь!$C$3:$D$14,2,0))</f>
        <v>31</v>
      </c>
      <c r="E79" s="424" t="s">
        <v>208</v>
      </c>
      <c r="F79" s="425"/>
      <c r="G79" s="425"/>
      <c r="H79" s="426"/>
      <c r="I79" s="278">
        <v>100</v>
      </c>
      <c r="J79" s="73">
        <v>22</v>
      </c>
      <c r="K79" s="74">
        <v>22</v>
      </c>
      <c r="L79" s="286">
        <f>IF(AND($K$79&gt;0,$K$79&lt;$J$79),I79,IF($K$79=0,0,I79/$K$79*$J$79))</f>
        <v>100.00000000000001</v>
      </c>
      <c r="M79" s="282"/>
      <c r="N79" s="375"/>
      <c r="O79" s="342"/>
      <c r="P79" s="342"/>
      <c r="Q79" s="342"/>
      <c r="R79" s="342"/>
      <c r="S79" s="342"/>
      <c r="T79" s="342"/>
      <c r="U79" s="342"/>
      <c r="V79" s="342"/>
      <c r="W79" s="342"/>
      <c r="X79" s="342"/>
      <c r="Y79" s="342"/>
      <c r="Z79" s="342"/>
      <c r="AA79" s="342"/>
      <c r="AB79" s="342"/>
      <c r="AC79" s="342"/>
      <c r="AD79" s="342"/>
      <c r="AE79" s="342"/>
      <c r="AF79" s="342"/>
      <c r="AG79" s="342"/>
      <c r="AH79" s="342"/>
      <c r="AI79" s="342"/>
    </row>
    <row r="80" spans="2:35" ht="15" customHeight="1">
      <c r="B80" s="53"/>
      <c r="C80" s="75"/>
      <c r="D80" s="76"/>
      <c r="E80" s="427"/>
      <c r="F80" s="428"/>
      <c r="G80" s="428"/>
      <c r="H80" s="429"/>
      <c r="I80" s="279"/>
      <c r="J80" s="85"/>
      <c r="K80" s="85"/>
      <c r="L80" s="287">
        <f>IF(AND($K$79&gt;0,$K$79&lt;$J$79),I80,IF($K$79=0,0,I80/$K$79*$J$79))</f>
        <v>0</v>
      </c>
      <c r="M80" s="282"/>
      <c r="N80" s="375"/>
      <c r="O80" s="342"/>
      <c r="P80" s="342"/>
      <c r="Q80" s="342"/>
      <c r="R80" s="342"/>
      <c r="S80" s="342"/>
      <c r="T80" s="342"/>
      <c r="U80" s="342"/>
      <c r="V80" s="342"/>
      <c r="W80" s="342"/>
      <c r="X80" s="342"/>
      <c r="Y80" s="342"/>
      <c r="Z80" s="342"/>
      <c r="AA80" s="342"/>
      <c r="AB80" s="342"/>
      <c r="AC80" s="342"/>
      <c r="AD80" s="342"/>
      <c r="AE80" s="342"/>
      <c r="AF80" s="342"/>
      <c r="AG80" s="342"/>
      <c r="AH80" s="342"/>
      <c r="AI80" s="342"/>
    </row>
    <row r="81" spans="2:35" ht="15" customHeight="1">
      <c r="B81" s="53"/>
      <c r="C81" s="86"/>
      <c r="D81" s="87"/>
      <c r="E81" s="447"/>
      <c r="F81" s="448"/>
      <c r="G81" s="448"/>
      <c r="H81" s="449"/>
      <c r="I81" s="280"/>
      <c r="J81" s="88"/>
      <c r="K81" s="89"/>
      <c r="L81" s="284">
        <f>IF(AND($K$79&gt;0,$K$79&lt;$J$79),I81,IF($K$79=0,0,I81/$K$79*$J$79))</f>
        <v>0</v>
      </c>
      <c r="M81" s="282"/>
      <c r="N81" s="375"/>
      <c r="O81" s="342"/>
      <c r="P81" s="342"/>
      <c r="Q81" s="342"/>
      <c r="R81" s="342"/>
      <c r="S81" s="342"/>
      <c r="T81" s="342"/>
      <c r="U81" s="342"/>
      <c r="V81" s="342"/>
      <c r="W81" s="342"/>
      <c r="X81" s="342"/>
      <c r="Y81" s="342"/>
      <c r="Z81" s="342"/>
      <c r="AA81" s="342"/>
      <c r="AB81" s="342"/>
      <c r="AC81" s="342"/>
      <c r="AD81" s="342"/>
      <c r="AE81" s="342"/>
      <c r="AF81" s="342"/>
      <c r="AG81" s="342"/>
      <c r="AH81" s="342"/>
      <c r="AI81" s="342"/>
    </row>
    <row r="82" spans="2:35" ht="15" customHeight="1">
      <c r="B82" s="53"/>
      <c r="C82" s="451" t="s">
        <v>171</v>
      </c>
      <c r="D82" s="452"/>
      <c r="E82" s="452"/>
      <c r="F82" s="452"/>
      <c r="G82" s="452"/>
      <c r="H82" s="452"/>
      <c r="I82" s="452"/>
      <c r="J82" s="452"/>
      <c r="K82" s="453"/>
      <c r="L82" s="288">
        <f>SUM(L74:L81)</f>
        <v>810</v>
      </c>
      <c r="M82" s="282"/>
      <c r="N82" s="376"/>
      <c r="O82" s="343"/>
      <c r="P82" s="343"/>
      <c r="Q82" s="343"/>
      <c r="R82" s="343"/>
      <c r="S82" s="343"/>
      <c r="T82" s="343"/>
      <c r="U82" s="343"/>
      <c r="V82" s="343"/>
      <c r="W82" s="343"/>
      <c r="X82" s="343"/>
      <c r="Y82" s="343"/>
      <c r="Z82" s="343"/>
      <c r="AA82" s="343"/>
      <c r="AB82" s="342"/>
      <c r="AC82" s="342"/>
      <c r="AD82" s="342"/>
      <c r="AE82" s="342"/>
      <c r="AF82" s="342"/>
      <c r="AG82" s="342"/>
      <c r="AH82" s="342"/>
      <c r="AI82" s="342"/>
    </row>
    <row r="83" spans="2:35" ht="15" customHeight="1">
      <c r="B83" s="53"/>
      <c r="C83" s="454" t="s">
        <v>210</v>
      </c>
      <c r="D83" s="454"/>
      <c r="E83" s="454"/>
      <c r="F83" s="454"/>
      <c r="G83" s="454"/>
      <c r="H83" s="454"/>
      <c r="I83" s="454"/>
      <c r="J83" s="455"/>
      <c r="K83" s="90"/>
      <c r="L83" s="290"/>
      <c r="M83" s="282"/>
      <c r="N83" s="376"/>
      <c r="O83" s="343"/>
      <c r="P83" s="343"/>
      <c r="Q83" s="343"/>
      <c r="R83" s="343"/>
      <c r="S83" s="343"/>
      <c r="T83" s="343"/>
      <c r="U83" s="343"/>
      <c r="V83" s="343"/>
      <c r="W83" s="343"/>
      <c r="X83" s="343"/>
      <c r="Y83" s="343"/>
      <c r="Z83" s="343"/>
      <c r="AA83" s="343"/>
      <c r="AB83" s="342"/>
      <c r="AC83" s="342"/>
      <c r="AD83" s="342"/>
      <c r="AE83" s="342"/>
      <c r="AF83" s="342"/>
      <c r="AG83" s="342"/>
      <c r="AH83" s="342"/>
      <c r="AI83" s="342"/>
    </row>
    <row r="84" spans="2:35" ht="15" customHeight="1">
      <c r="B84" s="53"/>
      <c r="C84" s="419" t="s">
        <v>211</v>
      </c>
      <c r="D84" s="419"/>
      <c r="E84" s="419"/>
      <c r="F84" s="419"/>
      <c r="G84" s="419"/>
      <c r="H84" s="419"/>
      <c r="I84" s="419"/>
      <c r="J84" s="419"/>
      <c r="K84" s="91">
        <f>D79-K83</f>
        <v>31</v>
      </c>
      <c r="L84" s="290"/>
      <c r="M84" s="282"/>
      <c r="N84" s="376"/>
      <c r="O84" s="343"/>
      <c r="P84" s="343"/>
      <c r="Q84" s="343"/>
      <c r="R84" s="343"/>
      <c r="S84" s="343"/>
      <c r="T84" s="343"/>
      <c r="U84" s="343"/>
      <c r="V84" s="343"/>
      <c r="W84" s="343"/>
      <c r="X84" s="343"/>
      <c r="Y84" s="343"/>
      <c r="Z84" s="343"/>
      <c r="AA84" s="343"/>
      <c r="AB84" s="342"/>
      <c r="AC84" s="342"/>
      <c r="AD84" s="342"/>
      <c r="AE84" s="342"/>
      <c r="AF84" s="342"/>
      <c r="AG84" s="342"/>
      <c r="AH84" s="342"/>
      <c r="AI84" s="342"/>
    </row>
    <row r="85" spans="2:35" ht="15" customHeight="1">
      <c r="B85" s="53"/>
      <c r="C85" s="451" t="s">
        <v>172</v>
      </c>
      <c r="D85" s="452"/>
      <c r="E85" s="452"/>
      <c r="F85" s="452"/>
      <c r="G85" s="452"/>
      <c r="H85" s="452"/>
      <c r="I85" s="452"/>
      <c r="J85" s="452"/>
      <c r="K85" s="453"/>
      <c r="L85" s="291">
        <f>IF(L82&gt;M85,M85,L82)</f>
        <v>810</v>
      </c>
      <c r="M85" s="292">
        <f>$Y$12</f>
        <v>6437.5</v>
      </c>
      <c r="N85" s="376"/>
      <c r="O85" s="343"/>
      <c r="P85" s="343"/>
      <c r="Q85" s="343"/>
      <c r="R85" s="343"/>
      <c r="S85" s="343"/>
      <c r="T85" s="343"/>
      <c r="U85" s="343"/>
      <c r="V85" s="343"/>
      <c r="W85" s="343"/>
      <c r="X85" s="343"/>
      <c r="Y85" s="343"/>
      <c r="Z85" s="343"/>
      <c r="AA85" s="343"/>
      <c r="AB85" s="342"/>
      <c r="AC85" s="342"/>
      <c r="AD85" s="342"/>
      <c r="AE85" s="342"/>
      <c r="AF85" s="342"/>
      <c r="AG85" s="342"/>
      <c r="AH85" s="342"/>
      <c r="AI85" s="342"/>
    </row>
    <row r="86" spans="2:35" ht="15" customHeight="1">
      <c r="B86" s="53"/>
      <c r="C86" s="70" t="str">
        <f>VLOOKUP(D87,календарь!$B$3:$C$14,2,0)</f>
        <v>Сентябрь</v>
      </c>
      <c r="D86" s="71">
        <f>IF(C87-1&lt;=0,YEAR($E$10)-1,YEAR($E$10))</f>
        <v>2020</v>
      </c>
      <c r="E86" s="435" t="s">
        <v>206</v>
      </c>
      <c r="F86" s="436"/>
      <c r="G86" s="436"/>
      <c r="H86" s="436"/>
      <c r="I86" s="437"/>
      <c r="J86" s="92"/>
      <c r="K86" s="92"/>
      <c r="L86" s="93"/>
      <c r="M86" s="95"/>
      <c r="N86" s="375"/>
      <c r="O86" s="342"/>
      <c r="P86" s="342"/>
      <c r="Q86" s="342"/>
      <c r="R86" s="342"/>
      <c r="S86" s="342"/>
      <c r="T86" s="342"/>
      <c r="U86" s="342"/>
      <c r="V86" s="342"/>
      <c r="W86" s="342"/>
      <c r="X86" s="342"/>
      <c r="Y86" s="342"/>
      <c r="Z86" s="342"/>
      <c r="AA86" s="271"/>
      <c r="AB86" s="271"/>
      <c r="AC86" s="271"/>
      <c r="AD86" s="342"/>
      <c r="AE86" s="342"/>
      <c r="AF86" s="331"/>
      <c r="AG86" s="342"/>
      <c r="AH86" s="342"/>
      <c r="AI86" s="342"/>
    </row>
    <row r="87" spans="2:35" ht="15" customHeight="1">
      <c r="B87" s="53"/>
      <c r="C87" s="96">
        <f>IF('Исходные данные'!$U$24="нет",MONTH($E$10),MONTH('Исходные данные'!$T$28))</f>
        <v>10</v>
      </c>
      <c r="D87" s="171">
        <f>IF(C87-1&lt;=0,12+(C87-1),C87-1)</f>
        <v>9</v>
      </c>
      <c r="E87" s="424" t="s">
        <v>282</v>
      </c>
      <c r="F87" s="425"/>
      <c r="G87" s="425"/>
      <c r="H87" s="426"/>
      <c r="I87" s="274">
        <v>630</v>
      </c>
      <c r="J87" s="77"/>
      <c r="K87" s="78"/>
      <c r="L87" s="281">
        <f>IF($K$97&gt;0,I87,0)</f>
        <v>630</v>
      </c>
      <c r="M87" s="282"/>
      <c r="N87" s="375"/>
      <c r="O87" s="342"/>
      <c r="P87" s="342"/>
      <c r="Q87" s="342"/>
      <c r="R87" s="342"/>
      <c r="S87" s="342"/>
      <c r="T87" s="342"/>
      <c r="U87" s="342"/>
      <c r="V87" s="342"/>
      <c r="W87" s="342"/>
      <c r="X87" s="342"/>
      <c r="Y87" s="342"/>
      <c r="Z87" s="342"/>
      <c r="AA87" s="342"/>
      <c r="AB87" s="342"/>
      <c r="AC87" s="342"/>
      <c r="AD87" s="342"/>
      <c r="AE87" s="342"/>
      <c r="AF87" s="331"/>
      <c r="AG87" s="342"/>
      <c r="AH87" s="342"/>
      <c r="AI87" s="342"/>
    </row>
    <row r="88" spans="2:35" ht="15" customHeight="1">
      <c r="B88" s="53"/>
      <c r="C88" s="96"/>
      <c r="D88" s="97"/>
      <c r="E88" s="427" t="s">
        <v>170</v>
      </c>
      <c r="F88" s="428"/>
      <c r="G88" s="428"/>
      <c r="H88" s="429"/>
      <c r="I88" s="275">
        <v>80</v>
      </c>
      <c r="J88" s="79"/>
      <c r="K88" s="80"/>
      <c r="L88" s="283">
        <f>IF($K$97&gt;0,I88,0)</f>
        <v>80</v>
      </c>
      <c r="M88" s="282"/>
      <c r="N88" s="375"/>
      <c r="O88" s="342"/>
      <c r="P88" s="342"/>
      <c r="Q88" s="342"/>
      <c r="R88" s="342"/>
      <c r="S88" s="342"/>
      <c r="T88" s="342"/>
      <c r="U88" s="342"/>
      <c r="V88" s="342"/>
      <c r="W88" s="342"/>
      <c r="X88" s="342"/>
      <c r="Y88" s="342"/>
      <c r="Z88" s="342"/>
      <c r="AA88" s="342"/>
      <c r="AB88" s="342"/>
      <c r="AC88" s="342"/>
      <c r="AD88" s="342"/>
      <c r="AE88" s="342"/>
      <c r="AF88" s="331"/>
      <c r="AG88" s="342"/>
      <c r="AH88" s="342"/>
      <c r="AI88" s="342"/>
    </row>
    <row r="89" spans="2:35" ht="15" customHeight="1">
      <c r="B89" s="53"/>
      <c r="C89" s="418" t="s">
        <v>209</v>
      </c>
      <c r="D89" s="172"/>
      <c r="E89" s="427"/>
      <c r="F89" s="428"/>
      <c r="G89" s="428"/>
      <c r="H89" s="429"/>
      <c r="I89" s="276"/>
      <c r="J89" s="79"/>
      <c r="K89" s="80"/>
      <c r="L89" s="283">
        <f>IF($K$97&gt;0,I89,0)</f>
        <v>0</v>
      </c>
      <c r="M89" s="282"/>
      <c r="N89" s="375"/>
      <c r="O89" s="342"/>
      <c r="P89" s="342"/>
      <c r="Q89" s="342"/>
      <c r="R89" s="342"/>
      <c r="S89" s="342"/>
      <c r="T89" s="342"/>
      <c r="U89" s="342"/>
      <c r="V89" s="342"/>
      <c r="W89" s="342"/>
      <c r="X89" s="342"/>
      <c r="Y89" s="342"/>
      <c r="Z89" s="342"/>
      <c r="AA89" s="342"/>
      <c r="AB89" s="342"/>
      <c r="AC89" s="342"/>
      <c r="AD89" s="342"/>
      <c r="AE89" s="342"/>
      <c r="AF89" s="342"/>
      <c r="AG89" s="342"/>
      <c r="AH89" s="342"/>
      <c r="AI89" s="342"/>
    </row>
    <row r="90" spans="2:35" ht="15" customHeight="1">
      <c r="B90" s="53"/>
      <c r="C90" s="418"/>
      <c r="D90" s="172"/>
      <c r="E90" s="447"/>
      <c r="F90" s="448"/>
      <c r="G90" s="448"/>
      <c r="H90" s="449"/>
      <c r="I90" s="277"/>
      <c r="J90" s="81"/>
      <c r="K90" s="82"/>
      <c r="L90" s="284">
        <f>IF($K$97&gt;0,I90,0)</f>
        <v>0</v>
      </c>
      <c r="M90" s="282"/>
      <c r="N90" s="375"/>
      <c r="O90" s="342"/>
      <c r="P90" s="342"/>
      <c r="Q90" s="342"/>
      <c r="R90" s="342"/>
      <c r="S90" s="342"/>
      <c r="T90" s="342"/>
      <c r="U90" s="342"/>
      <c r="V90" s="342"/>
      <c r="W90" s="342"/>
      <c r="X90" s="342"/>
      <c r="Y90" s="342"/>
      <c r="Z90" s="342"/>
      <c r="AA90" s="342"/>
      <c r="AB90" s="342"/>
      <c r="AC90" s="342"/>
      <c r="AD90" s="342"/>
      <c r="AE90" s="342"/>
      <c r="AF90" s="342"/>
      <c r="AG90" s="342"/>
      <c r="AH90" s="342"/>
      <c r="AI90" s="342"/>
    </row>
    <row r="91" spans="2:35" ht="15" customHeight="1">
      <c r="B91" s="53"/>
      <c r="C91" s="418"/>
      <c r="D91" s="171"/>
      <c r="E91" s="435" t="s">
        <v>207</v>
      </c>
      <c r="F91" s="436"/>
      <c r="G91" s="436"/>
      <c r="H91" s="436"/>
      <c r="I91" s="437"/>
      <c r="J91" s="83"/>
      <c r="K91" s="84"/>
      <c r="L91" s="285"/>
      <c r="M91" s="282"/>
      <c r="N91" s="375"/>
      <c r="O91" s="342"/>
      <c r="P91" s="342"/>
      <c r="Q91" s="342"/>
      <c r="R91" s="342"/>
      <c r="S91" s="342"/>
      <c r="T91" s="342"/>
      <c r="U91" s="342"/>
      <c r="V91" s="342"/>
      <c r="W91" s="342"/>
      <c r="X91" s="342"/>
      <c r="Y91" s="342"/>
      <c r="Z91" s="342"/>
      <c r="AA91" s="342"/>
      <c r="AB91" s="342"/>
      <c r="AC91" s="342"/>
      <c r="AD91" s="342"/>
      <c r="AE91" s="342"/>
      <c r="AF91" s="342"/>
      <c r="AG91" s="342"/>
      <c r="AH91" s="342"/>
      <c r="AI91" s="342"/>
    </row>
    <row r="92" spans="2:35" ht="15" customHeight="1">
      <c r="B92" s="53"/>
      <c r="C92" s="418"/>
      <c r="D92" s="171">
        <f>IF(AND($C$86="Февраль",OR($D$86=2016,$D$86=2020)),29,VLOOKUP($C$86,календарь!$C$3:$D$14,2,0))</f>
        <v>30</v>
      </c>
      <c r="E92" s="424" t="s">
        <v>208</v>
      </c>
      <c r="F92" s="425"/>
      <c r="G92" s="425"/>
      <c r="H92" s="426"/>
      <c r="I92" s="278">
        <v>100</v>
      </c>
      <c r="J92" s="73">
        <v>21</v>
      </c>
      <c r="K92" s="74">
        <v>21</v>
      </c>
      <c r="L92" s="286">
        <f>IF(AND($K$92&gt;0,$K$92&lt;$J$92),I92,IF($K$92=0,0,I92/$K$92*$J$92))</f>
        <v>100</v>
      </c>
      <c r="M92" s="282"/>
      <c r="N92" s="375"/>
      <c r="O92" s="342"/>
      <c r="P92" s="342"/>
      <c r="Q92" s="342"/>
      <c r="R92" s="342"/>
      <c r="S92" s="342"/>
      <c r="T92" s="342"/>
      <c r="U92" s="342"/>
      <c r="V92" s="342"/>
      <c r="W92" s="342"/>
      <c r="X92" s="342"/>
      <c r="Y92" s="342"/>
      <c r="Z92" s="342"/>
      <c r="AA92" s="342"/>
      <c r="AB92" s="342"/>
      <c r="AC92" s="342"/>
      <c r="AD92" s="342"/>
      <c r="AE92" s="342"/>
      <c r="AF92" s="342"/>
      <c r="AG92" s="342"/>
      <c r="AH92" s="342"/>
      <c r="AI92" s="342"/>
    </row>
    <row r="93" spans="2:35" ht="15" customHeight="1">
      <c r="B93" s="53"/>
      <c r="C93" s="75"/>
      <c r="D93" s="76"/>
      <c r="E93" s="427"/>
      <c r="F93" s="428"/>
      <c r="G93" s="428"/>
      <c r="H93" s="429"/>
      <c r="I93" s="279"/>
      <c r="J93" s="85"/>
      <c r="K93" s="85"/>
      <c r="L93" s="287">
        <f>IF(AND($K$92&gt;0,$K$92&lt;$J$92),I93,IF($K$92=0,0,I93/$K$92*$J$92))</f>
        <v>0</v>
      </c>
      <c r="M93" s="282"/>
      <c r="N93" s="375"/>
      <c r="O93" s="342"/>
      <c r="P93" s="342"/>
      <c r="Q93" s="342"/>
      <c r="R93" s="342"/>
      <c r="S93" s="342"/>
      <c r="T93" s="342"/>
      <c r="U93" s="342"/>
      <c r="V93" s="342"/>
      <c r="W93" s="342"/>
      <c r="X93" s="342"/>
      <c r="Y93" s="342"/>
      <c r="Z93" s="342"/>
      <c r="AA93" s="342"/>
      <c r="AB93" s="342"/>
      <c r="AC93" s="342"/>
      <c r="AD93" s="342"/>
      <c r="AE93" s="342"/>
      <c r="AF93" s="342"/>
      <c r="AG93" s="342"/>
      <c r="AH93" s="342"/>
      <c r="AI93" s="342"/>
    </row>
    <row r="94" spans="2:35" ht="15" customHeight="1">
      <c r="B94" s="53"/>
      <c r="C94" s="86"/>
      <c r="D94" s="87"/>
      <c r="E94" s="447"/>
      <c r="F94" s="448"/>
      <c r="G94" s="448"/>
      <c r="H94" s="449"/>
      <c r="I94" s="280"/>
      <c r="J94" s="88"/>
      <c r="K94" s="89"/>
      <c r="L94" s="284">
        <f>IF(AND($K$92&gt;0,$K$92&lt;$J$92),I94,IF($K$92=0,0,I94/$K$92*$J$92))</f>
        <v>0</v>
      </c>
      <c r="M94" s="282"/>
      <c r="N94" s="375"/>
      <c r="O94" s="342"/>
      <c r="P94" s="342"/>
      <c r="Q94" s="342"/>
      <c r="R94" s="342"/>
      <c r="S94" s="342"/>
      <c r="T94" s="342"/>
      <c r="U94" s="342"/>
      <c r="V94" s="342"/>
      <c r="W94" s="342"/>
      <c r="X94" s="342"/>
      <c r="Y94" s="342"/>
      <c r="Z94" s="342"/>
      <c r="AA94" s="342"/>
      <c r="AB94" s="342"/>
      <c r="AC94" s="342"/>
      <c r="AD94" s="342"/>
      <c r="AE94" s="342"/>
      <c r="AF94" s="342"/>
      <c r="AG94" s="342"/>
      <c r="AH94" s="342"/>
      <c r="AI94" s="342"/>
    </row>
    <row r="95" spans="2:35" ht="15" customHeight="1">
      <c r="B95" s="53"/>
      <c r="C95" s="451" t="s">
        <v>171</v>
      </c>
      <c r="D95" s="452"/>
      <c r="E95" s="452"/>
      <c r="F95" s="452"/>
      <c r="G95" s="452"/>
      <c r="H95" s="452"/>
      <c r="I95" s="452"/>
      <c r="J95" s="452"/>
      <c r="K95" s="453"/>
      <c r="L95" s="288">
        <f>SUM(L87:L94)</f>
        <v>810</v>
      </c>
      <c r="M95" s="282"/>
      <c r="N95" s="376"/>
      <c r="O95" s="343"/>
      <c r="P95" s="343"/>
      <c r="Q95" s="343"/>
      <c r="R95" s="343"/>
      <c r="S95" s="343"/>
      <c r="T95" s="343"/>
      <c r="U95" s="343"/>
      <c r="V95" s="343"/>
      <c r="W95" s="343"/>
      <c r="X95" s="343"/>
      <c r="Y95" s="343"/>
      <c r="Z95" s="343"/>
      <c r="AA95" s="343"/>
      <c r="AB95" s="342"/>
      <c r="AC95" s="342"/>
      <c r="AD95" s="342"/>
      <c r="AE95" s="342"/>
      <c r="AF95" s="342"/>
      <c r="AG95" s="342"/>
      <c r="AH95" s="342"/>
      <c r="AI95" s="342"/>
    </row>
    <row r="96" spans="2:35" ht="15" customHeight="1">
      <c r="B96" s="53"/>
      <c r="C96" s="454" t="s">
        <v>210</v>
      </c>
      <c r="D96" s="454"/>
      <c r="E96" s="454"/>
      <c r="F96" s="454"/>
      <c r="G96" s="454"/>
      <c r="H96" s="454"/>
      <c r="I96" s="454"/>
      <c r="J96" s="455"/>
      <c r="K96" s="90">
        <v>3</v>
      </c>
      <c r="L96" s="290"/>
      <c r="M96" s="282"/>
      <c r="N96" s="376"/>
      <c r="O96" s="343"/>
      <c r="P96" s="343"/>
      <c r="Q96" s="343"/>
      <c r="R96" s="343"/>
      <c r="S96" s="343"/>
      <c r="T96" s="343"/>
      <c r="U96" s="343"/>
      <c r="V96" s="343"/>
      <c r="W96" s="343"/>
      <c r="X96" s="343"/>
      <c r="Y96" s="343"/>
      <c r="Z96" s="343"/>
      <c r="AA96" s="343"/>
      <c r="AB96" s="342"/>
      <c r="AC96" s="342"/>
      <c r="AD96" s="342"/>
      <c r="AE96" s="342"/>
      <c r="AF96" s="342"/>
      <c r="AG96" s="342"/>
      <c r="AH96" s="342"/>
      <c r="AI96" s="342"/>
    </row>
    <row r="97" spans="2:35" ht="15" customHeight="1">
      <c r="B97" s="53"/>
      <c r="C97" s="419" t="s">
        <v>211</v>
      </c>
      <c r="D97" s="419"/>
      <c r="E97" s="419"/>
      <c r="F97" s="419"/>
      <c r="G97" s="419"/>
      <c r="H97" s="419"/>
      <c r="I97" s="419"/>
      <c r="J97" s="419"/>
      <c r="K97" s="91">
        <f>D92-K96</f>
        <v>27</v>
      </c>
      <c r="L97" s="290"/>
      <c r="M97" s="282"/>
      <c r="N97" s="376"/>
      <c r="O97" s="343"/>
      <c r="P97" s="343"/>
      <c r="Q97" s="343"/>
      <c r="R97" s="343"/>
      <c r="S97" s="343"/>
      <c r="T97" s="343"/>
      <c r="U97" s="343"/>
      <c r="V97" s="343"/>
      <c r="W97" s="343"/>
      <c r="X97" s="343"/>
      <c r="Y97" s="343"/>
      <c r="Z97" s="343"/>
      <c r="AA97" s="343"/>
      <c r="AB97" s="342"/>
      <c r="AC97" s="342"/>
      <c r="AD97" s="342"/>
      <c r="AE97" s="342"/>
      <c r="AF97" s="342"/>
      <c r="AG97" s="342"/>
      <c r="AH97" s="342"/>
      <c r="AI97" s="342"/>
    </row>
    <row r="98" spans="2:35" ht="15" customHeight="1">
      <c r="B98" s="53"/>
      <c r="C98" s="451" t="s">
        <v>172</v>
      </c>
      <c r="D98" s="452"/>
      <c r="E98" s="452"/>
      <c r="F98" s="452"/>
      <c r="G98" s="452"/>
      <c r="H98" s="452"/>
      <c r="I98" s="452"/>
      <c r="J98" s="452"/>
      <c r="K98" s="479"/>
      <c r="L98" s="293">
        <f>IF(L95&gt;M98,M98,L95)</f>
        <v>810</v>
      </c>
      <c r="M98" s="292">
        <f>$Y$13</f>
        <v>6382</v>
      </c>
      <c r="N98" s="376"/>
      <c r="O98" s="343"/>
      <c r="P98" s="343"/>
      <c r="Q98" s="343"/>
      <c r="R98" s="343"/>
      <c r="S98" s="343"/>
      <c r="T98" s="343"/>
      <c r="U98" s="343"/>
      <c r="V98" s="343"/>
      <c r="W98" s="343"/>
      <c r="X98" s="343"/>
      <c r="Y98" s="343"/>
      <c r="Z98" s="343"/>
      <c r="AA98" s="343"/>
      <c r="AB98" s="342"/>
      <c r="AC98" s="342"/>
      <c r="AD98" s="342"/>
      <c r="AE98" s="342"/>
      <c r="AF98" s="342"/>
      <c r="AG98" s="342"/>
      <c r="AH98" s="342"/>
      <c r="AI98" s="342"/>
    </row>
    <row r="99" spans="2:35" ht="15" customHeight="1">
      <c r="B99" s="53"/>
      <c r="C99" s="478" t="s">
        <v>173</v>
      </c>
      <c r="D99" s="478"/>
      <c r="E99" s="478"/>
      <c r="F99" s="478"/>
      <c r="G99" s="478"/>
      <c r="H99" s="478"/>
      <c r="I99" s="478"/>
      <c r="J99" s="478"/>
      <c r="K99" s="244">
        <f>K32+K45+K58+K71+K84+K97</f>
        <v>165</v>
      </c>
      <c r="L99" s="294">
        <f>$L$33+$L$46+$L$59+$L$72+$L$85+$L$98</f>
        <v>4840</v>
      </c>
      <c r="M99" s="61"/>
      <c r="N99" s="375"/>
      <c r="O99" s="342"/>
      <c r="P99" s="342"/>
      <c r="Q99" s="342"/>
      <c r="R99" s="342"/>
      <c r="S99" s="342"/>
      <c r="T99" s="342"/>
      <c r="U99" s="342"/>
      <c r="V99" s="344"/>
      <c r="W99" s="267"/>
      <c r="X99" s="267"/>
      <c r="Y99" s="267"/>
      <c r="Z99" s="267"/>
      <c r="AA99" s="344"/>
      <c r="AB99" s="344"/>
      <c r="AC99" s="342"/>
      <c r="AD99" s="342"/>
      <c r="AE99" s="342"/>
      <c r="AF99" s="342"/>
      <c r="AG99" s="342"/>
      <c r="AH99" s="342"/>
      <c r="AI99" s="342"/>
    </row>
    <row r="100" spans="2:35" ht="15" customHeight="1">
      <c r="B100" s="53"/>
      <c r="C100" s="476" t="s">
        <v>212</v>
      </c>
      <c r="D100" s="476"/>
      <c r="E100" s="476"/>
      <c r="F100" s="476"/>
      <c r="G100" s="476"/>
      <c r="H100" s="476"/>
      <c r="I100" s="477"/>
      <c r="J100" s="295">
        <f>IF($K$99&gt;0,ROUND($L$99/$K$99,2),0)</f>
        <v>29.33</v>
      </c>
      <c r="K100" s="94"/>
      <c r="L100" s="94"/>
      <c r="M100" s="61"/>
      <c r="N100" s="375"/>
      <c r="O100" s="342"/>
      <c r="P100" s="342"/>
      <c r="Q100" s="342"/>
      <c r="R100" s="342"/>
      <c r="S100" s="342"/>
      <c r="T100" s="342"/>
      <c r="U100" s="342"/>
      <c r="V100" s="344"/>
      <c r="W100" s="344"/>
      <c r="X100" s="344"/>
      <c r="Y100" s="344"/>
      <c r="Z100" s="344"/>
      <c r="AA100" s="344"/>
      <c r="AB100" s="344"/>
      <c r="AC100" s="342"/>
      <c r="AD100" s="342"/>
      <c r="AE100" s="342"/>
      <c r="AF100" s="342"/>
      <c r="AG100" s="342"/>
      <c r="AH100" s="342"/>
      <c r="AI100" s="342"/>
    </row>
    <row r="101" spans="2:35" ht="15" customHeight="1">
      <c r="B101" s="53"/>
      <c r="C101" s="98"/>
      <c r="D101" s="98"/>
      <c r="E101" s="99"/>
      <c r="F101" s="99"/>
      <c r="G101" s="99"/>
      <c r="H101" s="99"/>
      <c r="I101" s="99"/>
      <c r="J101" s="41"/>
      <c r="K101" s="47"/>
      <c r="L101" s="47"/>
      <c r="M101" s="34"/>
      <c r="N101" s="375"/>
      <c r="O101" s="342"/>
      <c r="P101" s="342"/>
      <c r="Q101" s="342"/>
      <c r="R101" s="342"/>
      <c r="S101" s="342"/>
      <c r="T101" s="342"/>
      <c r="U101" s="342"/>
      <c r="V101" s="344"/>
      <c r="W101" s="344"/>
      <c r="X101" s="344"/>
      <c r="Y101" s="344"/>
      <c r="Z101" s="344"/>
      <c r="AA101" s="344"/>
      <c r="AB101" s="344"/>
      <c r="AC101" s="342"/>
      <c r="AD101" s="342"/>
      <c r="AE101" s="342"/>
      <c r="AF101" s="342"/>
      <c r="AG101" s="342"/>
      <c r="AH101" s="342"/>
      <c r="AI101" s="342"/>
    </row>
    <row r="102" spans="2:35" ht="15" customHeight="1">
      <c r="B102" s="53"/>
      <c r="C102" s="40"/>
      <c r="D102" s="40"/>
      <c r="E102" s="47"/>
      <c r="F102" s="47"/>
      <c r="G102" s="47"/>
      <c r="H102" s="47"/>
      <c r="I102" s="47"/>
      <c r="J102" s="41"/>
      <c r="K102" s="47"/>
      <c r="L102" s="47"/>
      <c r="M102" s="34"/>
      <c r="N102" s="375"/>
      <c r="O102" s="342"/>
      <c r="P102" s="342"/>
      <c r="Q102" s="342"/>
      <c r="R102" s="342"/>
      <c r="S102" s="342"/>
      <c r="T102" s="342"/>
      <c r="U102" s="342"/>
      <c r="V102" s="344"/>
      <c r="W102" s="344"/>
      <c r="X102" s="344"/>
      <c r="Y102" s="344"/>
      <c r="Z102" s="344"/>
      <c r="AA102" s="344"/>
      <c r="AB102" s="344"/>
      <c r="AC102" s="342"/>
      <c r="AD102" s="342"/>
      <c r="AE102" s="342"/>
      <c r="AF102" s="342"/>
      <c r="AG102" s="342"/>
      <c r="AH102" s="342"/>
      <c r="AI102" s="342"/>
    </row>
    <row r="103" spans="2:35" ht="15" customHeight="1">
      <c r="B103" s="53"/>
      <c r="C103" s="36"/>
      <c r="D103" s="40"/>
      <c r="E103" s="47"/>
      <c r="F103" s="47"/>
      <c r="G103" s="47"/>
      <c r="H103" s="47"/>
      <c r="I103" s="47"/>
      <c r="J103" s="41"/>
      <c r="K103" s="47"/>
      <c r="L103" s="47"/>
      <c r="M103" s="34"/>
      <c r="N103" s="375"/>
      <c r="O103" s="342"/>
      <c r="P103" s="342"/>
      <c r="Q103" s="342"/>
      <c r="R103" s="342"/>
      <c r="S103" s="342"/>
      <c r="T103" s="342"/>
      <c r="U103" s="342"/>
      <c r="V103" s="342"/>
      <c r="W103" s="342"/>
      <c r="X103" s="342"/>
      <c r="Y103" s="342"/>
      <c r="Z103" s="342"/>
      <c r="AA103" s="342"/>
      <c r="AB103" s="342"/>
      <c r="AC103" s="342"/>
      <c r="AD103" s="342"/>
      <c r="AE103" s="342"/>
      <c r="AF103" s="342"/>
      <c r="AG103" s="342"/>
      <c r="AH103" s="342"/>
      <c r="AI103" s="342"/>
    </row>
    <row r="104" spans="2:35" ht="15" customHeight="1">
      <c r="B104" s="53"/>
      <c r="C104" s="475" t="s">
        <v>174</v>
      </c>
      <c r="D104" s="475"/>
      <c r="E104" s="475"/>
      <c r="F104" s="475"/>
      <c r="G104" s="475"/>
      <c r="H104" s="475"/>
      <c r="I104" s="475"/>
      <c r="J104" s="475"/>
      <c r="K104" s="475"/>
      <c r="L104" s="475"/>
      <c r="M104" s="475"/>
      <c r="N104" s="375"/>
      <c r="O104" s="342"/>
      <c r="P104" s="342"/>
      <c r="Q104" s="342"/>
      <c r="R104" s="342"/>
      <c r="S104" s="342"/>
      <c r="T104" s="342"/>
      <c r="U104" s="342"/>
      <c r="V104" s="345"/>
      <c r="W104" s="342"/>
      <c r="X104" s="342"/>
      <c r="Y104" s="342"/>
      <c r="Z104" s="342"/>
      <c r="AA104" s="342"/>
      <c r="AB104" s="342"/>
      <c r="AC104" s="342"/>
      <c r="AD104" s="342"/>
      <c r="AE104" s="342"/>
      <c r="AF104" s="342"/>
      <c r="AG104" s="342"/>
      <c r="AH104" s="342"/>
      <c r="AI104" s="342"/>
    </row>
    <row r="105" spans="2:35" ht="15" customHeight="1">
      <c r="B105" s="53"/>
      <c r="C105" s="45"/>
      <c r="D105" s="45"/>
      <c r="E105" s="100"/>
      <c r="F105" s="100"/>
      <c r="G105" s="100"/>
      <c r="H105" s="100"/>
      <c r="I105" s="100"/>
      <c r="J105" s="42"/>
      <c r="K105" s="43"/>
      <c r="L105" s="44"/>
      <c r="M105" s="44"/>
      <c r="N105" s="375"/>
      <c r="O105" s="342"/>
      <c r="P105" s="342"/>
      <c r="Q105" s="342"/>
      <c r="R105" s="342"/>
      <c r="S105" s="342"/>
      <c r="T105" s="342"/>
      <c r="U105" s="342"/>
      <c r="V105" s="345"/>
      <c r="W105" s="342"/>
      <c r="X105" s="342"/>
      <c r="Y105" s="342"/>
      <c r="Z105" s="342"/>
      <c r="AA105" s="342"/>
      <c r="AB105" s="342"/>
      <c r="AC105" s="342"/>
      <c r="AD105" s="342"/>
      <c r="AE105" s="342"/>
      <c r="AF105" s="342"/>
      <c r="AG105" s="342"/>
      <c r="AH105" s="342"/>
      <c r="AI105" s="342"/>
    </row>
    <row r="106" spans="2:41" ht="50.25" customHeight="1">
      <c r="B106" s="53"/>
      <c r="C106" s="173" t="s">
        <v>175</v>
      </c>
      <c r="D106" s="173" t="s">
        <v>161</v>
      </c>
      <c r="E106" s="174" t="s">
        <v>263</v>
      </c>
      <c r="F106" s="461" t="s">
        <v>176</v>
      </c>
      <c r="G106" s="462"/>
      <c r="H106" s="462"/>
      <c r="I106" s="174" t="s">
        <v>262</v>
      </c>
      <c r="J106" s="174" t="s">
        <v>177</v>
      </c>
      <c r="K106" s="174" t="s">
        <v>264</v>
      </c>
      <c r="L106" s="174" t="s">
        <v>261</v>
      </c>
      <c r="M106" s="34"/>
      <c r="N106" s="375"/>
      <c r="O106" s="342"/>
      <c r="P106" s="342"/>
      <c r="Q106" s="342"/>
      <c r="R106" s="342"/>
      <c r="S106" s="342"/>
      <c r="T106" s="342"/>
      <c r="U106" s="342"/>
      <c r="V106" s="342"/>
      <c r="W106" s="342"/>
      <c r="X106" s="342"/>
      <c r="Y106" s="342"/>
      <c r="Z106" s="342"/>
      <c r="AA106" s="342"/>
      <c r="AB106" s="342"/>
      <c r="AC106" s="342"/>
      <c r="AD106" s="342"/>
      <c r="AE106" s="342"/>
      <c r="AF106" s="342"/>
      <c r="AG106" s="342"/>
      <c r="AH106" s="342"/>
      <c r="AI106" s="342"/>
      <c r="AO106" s="270"/>
    </row>
    <row r="107" spans="2:41" ht="15" customHeight="1">
      <c r="B107" s="53"/>
      <c r="C107" s="200" t="str">
        <f>VLOOKUP($S$107,календарь!$B$3:$C$14,2,0)</f>
        <v>Октябрь</v>
      </c>
      <c r="D107" s="201">
        <f>YEAR($E$10)</f>
        <v>2020</v>
      </c>
      <c r="E107" s="102">
        <f>IF('Исходные данные'!$U$24="нет",'Исходные данные'!$AA$37,'Исходные данные'!$AA$44)</f>
        <v>27</v>
      </c>
      <c r="F107" s="463">
        <v>1</v>
      </c>
      <c r="G107" s="463"/>
      <c r="H107" s="463"/>
      <c r="I107" s="296">
        <f aca="true" t="shared" si="1" ref="I107:I112">ROUND(V107,2)</f>
        <v>791.91</v>
      </c>
      <c r="J107" s="296">
        <f aca="true" t="shared" si="2" ref="J107:J112">E107*(W107/2/$T107)</f>
        <v>111.52741935483871</v>
      </c>
      <c r="K107" s="296">
        <f aca="true" t="shared" si="3" ref="K107:K112">V119</f>
        <v>3304.02</v>
      </c>
      <c r="L107" s="297" t="s">
        <v>178</v>
      </c>
      <c r="M107" s="34"/>
      <c r="N107" s="375"/>
      <c r="O107" s="342"/>
      <c r="P107" s="342"/>
      <c r="Q107" s="342"/>
      <c r="R107" s="342"/>
      <c r="S107" s="243">
        <f>MONTH($E$10)</f>
        <v>10</v>
      </c>
      <c r="T107" s="243">
        <f>VLOOKUP($C$107,календарь!$C$3:$D$14,2,0)</f>
        <v>31</v>
      </c>
      <c r="U107" s="340">
        <f>'Исходные данные'!$Z$7</f>
        <v>29.33</v>
      </c>
      <c r="V107" s="346">
        <f>IF(OR('Исходные данные'!$Z$8=2,'Исходные данные'!$Z$8=1),ROUND(F107*E107*U107,2),IF('Исходные данные'!$Z$8=3,ROUND(F107*E107*(U107/T107),2),0))</f>
        <v>791.91</v>
      </c>
      <c r="W107" s="271">
        <f>VLOOKUP(CONCATENATE($C$107,$D$107),информация!$A$86:$H$154,8,0)</f>
        <v>256.1</v>
      </c>
      <c r="X107" s="243">
        <f>IF('Исходные данные'!$U$24="нет",$S$107,MONTH('Исходные данные'!T28))</f>
        <v>10</v>
      </c>
      <c r="Y107" s="243" t="str">
        <f>IF(S107="","",VLOOKUP(S107,календарь!$B$3:$C$14,2,0))</f>
        <v>Октябрь</v>
      </c>
      <c r="Z107" s="342">
        <f>YEAR(J10)</f>
        <v>2020</v>
      </c>
      <c r="AA107" s="342"/>
      <c r="AB107" s="347" t="str">
        <f>VLOOKUP($AC$107,календарь!$B$3:$C$26,2,1)</f>
        <v>Февраль</v>
      </c>
      <c r="AC107" s="327">
        <f>IF('Исходные данные'!$U$22="нет",$S$107+1,MONTH('Исходные данные'!T28)+1)</f>
        <v>2</v>
      </c>
      <c r="AD107" s="342"/>
      <c r="AE107" s="342"/>
      <c r="AF107" s="342"/>
      <c r="AG107" s="342"/>
      <c r="AH107" s="342"/>
      <c r="AI107" s="342"/>
      <c r="AO107" s="270"/>
    </row>
    <row r="108" spans="2:41" ht="15" customHeight="1">
      <c r="B108" s="53"/>
      <c r="C108" s="202" t="str">
        <f>VLOOKUP($S$108,календарь!$B$3:$C$14,2,0)</f>
        <v>Ноябрь</v>
      </c>
      <c r="D108" s="203">
        <f>IF(S107=12,D107+1,D107)</f>
        <v>2020</v>
      </c>
      <c r="E108" s="204">
        <f>IF('Исходные данные'!$U$24="нет",'Исходные данные'!$AA$38,'Исходные данные'!$AA$45)</f>
        <v>30</v>
      </c>
      <c r="F108" s="456">
        <v>1</v>
      </c>
      <c r="G108" s="456"/>
      <c r="H108" s="456"/>
      <c r="I108" s="298">
        <f t="shared" si="1"/>
        <v>879.9</v>
      </c>
      <c r="J108" s="298">
        <f t="shared" si="2"/>
        <v>129.055</v>
      </c>
      <c r="K108" s="298">
        <f t="shared" si="3"/>
        <v>3793.5</v>
      </c>
      <c r="L108" s="299" t="s">
        <v>178</v>
      </c>
      <c r="M108" s="34"/>
      <c r="N108" s="375"/>
      <c r="O108" s="342"/>
      <c r="P108" s="342"/>
      <c r="Q108" s="342"/>
      <c r="R108" s="342"/>
      <c r="S108" s="348">
        <f>IF(S107=12,1,S107+1)</f>
        <v>11</v>
      </c>
      <c r="T108" s="243">
        <f>VLOOKUP($C$108,календарь!$C$3:$D$14,2,0)</f>
        <v>30</v>
      </c>
      <c r="U108" s="340">
        <f>'Исходные данные'!$Z$7</f>
        <v>29.33</v>
      </c>
      <c r="V108" s="346">
        <f>IF(OR('Исходные данные'!$Z$8=2,'Исходные данные'!$Z$8=1),ROUND(F108*E108*U108,2),IF('Исходные данные'!$Z$8=3,ROUND(F108*E108*(U108/T108),2),0))</f>
        <v>879.9</v>
      </c>
      <c r="W108" s="271">
        <f>IF(VLOOKUP(CONCATENATE($C$108,$D$108),информация!$A$86:$H$154,8,0)&lt;W107,W107,VLOOKUP(CONCATENATE($C$108,$D$108),информация!$A$86:$H$154,8,0))</f>
        <v>258.11</v>
      </c>
      <c r="Z108" s="342"/>
      <c r="AA108" s="342"/>
      <c r="AB108" s="342"/>
      <c r="AC108" s="342"/>
      <c r="AD108" s="342"/>
      <c r="AE108" s="342"/>
      <c r="AF108" s="342"/>
      <c r="AG108" s="342"/>
      <c r="AH108" s="342"/>
      <c r="AI108" s="342"/>
      <c r="AO108" s="270"/>
    </row>
    <row r="109" spans="2:35" ht="15" customHeight="1">
      <c r="B109" s="53"/>
      <c r="C109" s="202" t="str">
        <f>VLOOKUP($S$109,календарь!$B$3:$C$14,2,0)</f>
        <v>Декабрь</v>
      </c>
      <c r="D109" s="203">
        <f>IF(S108=12,D108+1,D108)</f>
        <v>2020</v>
      </c>
      <c r="E109" s="204">
        <f>IF('Исходные данные'!$U$24="нет",'Исходные данные'!$AA$39,'Исходные данные'!$AA$46)</f>
        <v>31</v>
      </c>
      <c r="F109" s="456">
        <v>1</v>
      </c>
      <c r="G109" s="456"/>
      <c r="H109" s="456"/>
      <c r="I109" s="298">
        <f t="shared" si="1"/>
        <v>909.23</v>
      </c>
      <c r="J109" s="298">
        <f t="shared" si="2"/>
        <v>129.055</v>
      </c>
      <c r="K109" s="298">
        <f t="shared" si="3"/>
        <v>3793.5</v>
      </c>
      <c r="L109" s="299" t="s">
        <v>178</v>
      </c>
      <c r="M109" s="34"/>
      <c r="N109" s="375"/>
      <c r="O109" s="342"/>
      <c r="P109" s="342"/>
      <c r="Q109" s="342"/>
      <c r="R109" s="342"/>
      <c r="S109" s="348">
        <f>IF(S108=12,1,S108+1)</f>
        <v>12</v>
      </c>
      <c r="T109" s="243">
        <f>VLOOKUP($C$109,календарь!$C$3:$D$14,2,0)</f>
        <v>31</v>
      </c>
      <c r="U109" s="340">
        <f>'Исходные данные'!$Z$7</f>
        <v>29.33</v>
      </c>
      <c r="V109" s="346">
        <f>IF(OR('Исходные данные'!$Z$8=2,'Исходные данные'!$Z$8=1),ROUND(F109*E109*U109,2),IF('Исходные данные'!$Z$8=3,ROUND(F109*E109*(U109/T109),2),0))</f>
        <v>909.23</v>
      </c>
      <c r="W109" s="271">
        <f>IF(VLOOKUP(CONCATENATE($C$108,$D$108),информация!$A$86:$H$154,8,0)&lt;W108,W108,VLOOKUP(CONCATENATE($C$108,$D$108),информация!$A$86:$H$154,8,0))</f>
        <v>258.11</v>
      </c>
      <c r="Z109" s="342"/>
      <c r="AA109" s="342"/>
      <c r="AB109" s="342"/>
      <c r="AC109" s="342"/>
      <c r="AD109" s="342"/>
      <c r="AE109" s="342"/>
      <c r="AF109" s="342"/>
      <c r="AG109" s="342"/>
      <c r="AH109" s="342"/>
      <c r="AI109" s="342"/>
    </row>
    <row r="110" spans="2:35" ht="15" customHeight="1">
      <c r="B110" s="53"/>
      <c r="C110" s="202" t="str">
        <f>VLOOKUP($S$110,календарь!$B$3:$C$14,2,0)</f>
        <v>Январь</v>
      </c>
      <c r="D110" s="203">
        <f>IF(S109=12,D109+1,D109)</f>
        <v>2021</v>
      </c>
      <c r="E110" s="204">
        <f>IF('Исходные данные'!$U$24="нет",'Исходные данные'!$AA$40,'Исходные данные'!$AA$47)</f>
        <v>31</v>
      </c>
      <c r="F110" s="456">
        <v>1</v>
      </c>
      <c r="G110" s="456"/>
      <c r="H110" s="456"/>
      <c r="I110" s="298">
        <f t="shared" si="1"/>
        <v>909.23</v>
      </c>
      <c r="J110" s="298">
        <f t="shared" si="2"/>
        <v>129.055</v>
      </c>
      <c r="K110" s="298">
        <f t="shared" si="3"/>
        <v>3793.5</v>
      </c>
      <c r="L110" s="299" t="s">
        <v>178</v>
      </c>
      <c r="M110" s="34"/>
      <c r="N110" s="375"/>
      <c r="O110" s="342"/>
      <c r="P110" s="342"/>
      <c r="Q110" s="342"/>
      <c r="R110" s="342"/>
      <c r="S110" s="348">
        <f>IF(S109=12,1,S109+1)</f>
        <v>1</v>
      </c>
      <c r="T110" s="243">
        <f>VLOOKUP($C$110,календарь!$C$3:$D$14,2,0)</f>
        <v>31</v>
      </c>
      <c r="U110" s="340">
        <f>'Исходные данные'!$Z$7</f>
        <v>29.33</v>
      </c>
      <c r="V110" s="346">
        <f>IF(OR('Исходные данные'!$Z$8=2,'Исходные данные'!$Z$8=1),ROUND(F110*E110*U110,2),IF('Исходные данные'!$Z$8=3,ROUND(F110*E110*(U110/T110),2),0))</f>
        <v>909.23</v>
      </c>
      <c r="W110" s="271">
        <f>IF(VLOOKUP(CONCATENATE($C$108,$D$108),информация!$A$86:$H$154,8,0)&lt;W109,W109,VLOOKUP(CONCATENATE($C$108,$D$108),информация!$A$86:$H$154,8,0))</f>
        <v>258.11</v>
      </c>
      <c r="Y110" s="342"/>
      <c r="Z110" s="342"/>
      <c r="AA110" s="342"/>
      <c r="AB110" s="342"/>
      <c r="AC110" s="342"/>
      <c r="AD110" s="342"/>
      <c r="AE110" s="342"/>
      <c r="AF110" s="342"/>
      <c r="AG110" s="342"/>
      <c r="AH110" s="342"/>
      <c r="AI110" s="342"/>
    </row>
    <row r="111" spans="2:35" ht="15" customHeight="1">
      <c r="B111" s="53"/>
      <c r="C111" s="202" t="str">
        <f>VLOOKUP($S$111,календарь!$B$3:$C$14,2,0)</f>
        <v>Февраль</v>
      </c>
      <c r="D111" s="203">
        <f>IF(S110=12,D110+1,D110)</f>
        <v>2021</v>
      </c>
      <c r="E111" s="204">
        <f>IF('Исходные данные'!$U$24="нет",'Исходные данные'!$AA$41,'Исходные данные'!$AA$48)</f>
        <v>7</v>
      </c>
      <c r="F111" s="472">
        <v>1</v>
      </c>
      <c r="G111" s="472"/>
      <c r="H111" s="472"/>
      <c r="I111" s="298">
        <f t="shared" si="1"/>
        <v>205.31</v>
      </c>
      <c r="J111" s="298">
        <f t="shared" si="2"/>
        <v>32.26375</v>
      </c>
      <c r="K111" s="298">
        <f t="shared" si="3"/>
        <v>948.38</v>
      </c>
      <c r="L111" s="300" t="s">
        <v>178</v>
      </c>
      <c r="M111" s="34"/>
      <c r="N111" s="375"/>
      <c r="O111" s="342"/>
      <c r="P111" s="342"/>
      <c r="Q111" s="342"/>
      <c r="R111" s="342"/>
      <c r="S111" s="348">
        <f>IF(S110=12,1,S110+1)</f>
        <v>2</v>
      </c>
      <c r="T111" s="243">
        <f>VLOOKUP($C$111,календарь!$C$3:$D$14,2,0)</f>
        <v>28</v>
      </c>
      <c r="U111" s="340">
        <f>'Исходные данные'!$Z$7</f>
        <v>29.33</v>
      </c>
      <c r="V111" s="346">
        <f>IF(OR('Исходные данные'!$Z$8=2,'Исходные данные'!$Z$8=1),ROUND(F111*E111*U111,2),IF('Исходные данные'!$Z$8=3,ROUND(F111*E111*(U111/T111),2),0))</f>
        <v>205.31</v>
      </c>
      <c r="W111" s="271">
        <f>IF(VLOOKUP(CONCATENATE($C$108,$D$108),информация!$A$86:$H$154,8,0)&lt;W110,W110,VLOOKUP(CONCATENATE($C$108,$D$108),информация!$A$86:$H$154,8,0))</f>
        <v>258.11</v>
      </c>
      <c r="X111" s="342"/>
      <c r="Y111" s="342"/>
      <c r="Z111" s="342"/>
      <c r="AA111" s="342"/>
      <c r="AB111" s="342"/>
      <c r="AC111" s="342"/>
      <c r="AD111" s="342"/>
      <c r="AE111" s="342"/>
      <c r="AF111" s="342"/>
      <c r="AG111" s="342"/>
      <c r="AH111" s="342"/>
      <c r="AI111" s="342"/>
    </row>
    <row r="112" spans="2:35" ht="15" customHeight="1">
      <c r="B112" s="53"/>
      <c r="C112" s="205" t="str">
        <f>VLOOKUP($S$112,календарь!$B$3:$C$14,2,0)</f>
        <v>Март</v>
      </c>
      <c r="D112" s="206">
        <f>IF(S111=12,D111+1,D111)</f>
        <v>2021</v>
      </c>
      <c r="E112" s="103">
        <f>IF('Исходные данные'!$U$24="нет",'Исходные данные'!$AA$42,'Исходные данные'!$AA$49)</f>
        <v>0</v>
      </c>
      <c r="F112" s="473">
        <v>1</v>
      </c>
      <c r="G112" s="473"/>
      <c r="H112" s="473"/>
      <c r="I112" s="301">
        <f t="shared" si="1"/>
        <v>0</v>
      </c>
      <c r="J112" s="301">
        <f t="shared" si="2"/>
        <v>0</v>
      </c>
      <c r="K112" s="301">
        <f t="shared" si="3"/>
        <v>0</v>
      </c>
      <c r="L112" s="302" t="s">
        <v>178</v>
      </c>
      <c r="M112" s="34"/>
      <c r="N112" s="377"/>
      <c r="O112" s="349"/>
      <c r="P112" s="349"/>
      <c r="Q112" s="349"/>
      <c r="R112" s="349"/>
      <c r="S112" s="348">
        <f>IF(S111=12,1,S111+1)</f>
        <v>3</v>
      </c>
      <c r="T112" s="243">
        <f>VLOOKUP($C$112,календарь!$C$3:$D$14,2,0)</f>
        <v>31</v>
      </c>
      <c r="U112" s="340">
        <f>'Исходные данные'!$Z$7</f>
        <v>29.33</v>
      </c>
      <c r="V112" s="346">
        <f>IF(OR('Исходные данные'!$Z$8=2,'Исходные данные'!$Z$8=1),ROUND(F112*E112*U112,2),IF('Исходные данные'!$Z$8=3,ROUND(F112*E112*(U112/T112),2),0))</f>
        <v>0</v>
      </c>
      <c r="W112" s="271">
        <f>IF(VLOOKUP(CONCATENATE($C$108,$D$108),информация!$A$86:$H$154,8,0)&lt;W111,W111,VLOOKUP(CONCATENATE($C$108,$D$108),информация!$A$86:$H$154,8,0))</f>
        <v>258.11</v>
      </c>
      <c r="Y112" s="342"/>
      <c r="Z112" s="342"/>
      <c r="AA112" s="342"/>
      <c r="AB112" s="342"/>
      <c r="AC112" s="342"/>
      <c r="AD112" s="342"/>
      <c r="AE112" s="342"/>
      <c r="AF112" s="342"/>
      <c r="AG112" s="342"/>
      <c r="AH112" s="342"/>
      <c r="AI112" s="342"/>
    </row>
    <row r="113" spans="2:57" s="50" customFormat="1" ht="15" customHeight="1">
      <c r="B113" s="56"/>
      <c r="C113" s="451" t="s">
        <v>179</v>
      </c>
      <c r="D113" s="453"/>
      <c r="E113" s="101">
        <f>SUM(E107:E112)</f>
        <v>126</v>
      </c>
      <c r="F113" s="474"/>
      <c r="G113" s="474"/>
      <c r="H113" s="474"/>
      <c r="I113" s="303">
        <f>SUM(I107:I112)</f>
        <v>3695.58</v>
      </c>
      <c r="J113" s="303">
        <f>SUM(J107:J112)</f>
        <v>530.9561693548387</v>
      </c>
      <c r="K113" s="303">
        <f>SUM(K107:K112)</f>
        <v>15632.9</v>
      </c>
      <c r="L113" s="303">
        <f>IF(I113&gt;=K113,K113,IF(I113&lt;=J113,J113,I113))</f>
        <v>3695.58</v>
      </c>
      <c r="M113" s="40"/>
      <c r="N113" s="378"/>
      <c r="O113" s="350"/>
      <c r="P113" s="350"/>
      <c r="Q113" s="350"/>
      <c r="R113" s="350"/>
      <c r="S113" s="350"/>
      <c r="T113" s="350"/>
      <c r="U113" s="350"/>
      <c r="V113" s="350"/>
      <c r="W113" s="350"/>
      <c r="X113" s="350"/>
      <c r="Y113" s="350"/>
      <c r="Z113" s="350"/>
      <c r="AA113" s="350"/>
      <c r="AB113" s="350"/>
      <c r="AC113" s="350"/>
      <c r="AD113" s="350"/>
      <c r="AE113" s="350"/>
      <c r="AF113" s="350"/>
      <c r="AG113" s="350"/>
      <c r="AH113" s="350"/>
      <c r="AI113" s="350"/>
      <c r="AJ113" s="350"/>
      <c r="AK113" s="350"/>
      <c r="AL113" s="350"/>
      <c r="AM113" s="403"/>
      <c r="AN113" s="272"/>
      <c r="AO113" s="272"/>
      <c r="AP113" s="272"/>
      <c r="AQ113" s="185"/>
      <c r="AR113" s="185"/>
      <c r="AS113" s="185"/>
      <c r="AT113" s="185"/>
      <c r="AU113" s="185"/>
      <c r="AV113" s="185"/>
      <c r="AW113" s="185"/>
      <c r="AX113" s="185"/>
      <c r="AY113" s="185"/>
      <c r="AZ113" s="185"/>
      <c r="BA113" s="185"/>
      <c r="BB113" s="185"/>
      <c r="BC113" s="185"/>
      <c r="BD113" s="185"/>
      <c r="BE113" s="185"/>
    </row>
    <row r="114" spans="2:57" s="50" customFormat="1" ht="15" customHeight="1">
      <c r="B114" s="56"/>
      <c r="C114" s="457" t="s">
        <v>180</v>
      </c>
      <c r="D114" s="457"/>
      <c r="E114" s="457"/>
      <c r="F114" s="457"/>
      <c r="G114" s="457"/>
      <c r="H114" s="457"/>
      <c r="I114" s="457"/>
      <c r="J114" s="457"/>
      <c r="K114" s="458"/>
      <c r="L114" s="40"/>
      <c r="M114" s="40"/>
      <c r="N114" s="374"/>
      <c r="O114" s="243"/>
      <c r="P114" s="243"/>
      <c r="Q114" s="243"/>
      <c r="R114" s="243"/>
      <c r="S114" s="243"/>
      <c r="T114" s="243"/>
      <c r="U114" s="243"/>
      <c r="V114" s="467"/>
      <c r="W114" s="467"/>
      <c r="X114" s="467"/>
      <c r="Y114" s="467"/>
      <c r="Z114" s="467"/>
      <c r="AA114" s="467"/>
      <c r="AB114" s="467"/>
      <c r="AC114" s="243"/>
      <c r="AD114" s="350"/>
      <c r="AE114" s="350"/>
      <c r="AF114" s="350"/>
      <c r="AG114" s="350"/>
      <c r="AH114" s="350"/>
      <c r="AI114" s="350"/>
      <c r="AJ114" s="350"/>
      <c r="AK114" s="350"/>
      <c r="AL114" s="350"/>
      <c r="AM114" s="403"/>
      <c r="AN114" s="272"/>
      <c r="AO114" s="272"/>
      <c r="AP114" s="272"/>
      <c r="AQ114" s="185"/>
      <c r="AR114" s="185"/>
      <c r="AS114" s="185"/>
      <c r="AT114" s="185"/>
      <c r="AU114" s="185"/>
      <c r="AV114" s="185"/>
      <c r="AW114" s="185"/>
      <c r="AX114" s="185"/>
      <c r="AY114" s="185"/>
      <c r="AZ114" s="185"/>
      <c r="BA114" s="185"/>
      <c r="BB114" s="185"/>
      <c r="BC114" s="185"/>
      <c r="BD114" s="185"/>
      <c r="BE114" s="185"/>
    </row>
    <row r="115" spans="2:28" ht="15" customHeight="1">
      <c r="B115" s="53"/>
      <c r="C115" s="468" t="str">
        <f>IF(AE116=1,AG158,V158)</f>
        <v>Три тысячи шестьсот девяносто пять рублей 58 копеек.</v>
      </c>
      <c r="D115" s="468"/>
      <c r="E115" s="468"/>
      <c r="F115" s="468"/>
      <c r="G115" s="468"/>
      <c r="H115" s="468"/>
      <c r="I115" s="468"/>
      <c r="J115" s="468"/>
      <c r="K115" s="468"/>
      <c r="L115" s="468"/>
      <c r="M115" s="34"/>
      <c r="N115" s="374"/>
      <c r="P115" s="466" t="s">
        <v>200</v>
      </c>
      <c r="Q115" s="466"/>
      <c r="R115" s="466"/>
      <c r="S115" s="466"/>
      <c r="T115" s="466"/>
      <c r="U115" s="466"/>
      <c r="V115" s="466"/>
      <c r="X115" s="469"/>
      <c r="Y115" s="469"/>
      <c r="Z115" s="469"/>
      <c r="AA115" s="469"/>
      <c r="AB115" s="469"/>
    </row>
    <row r="116" spans="2:32" ht="15" customHeight="1">
      <c r="B116" s="53"/>
      <c r="C116" s="470" t="s">
        <v>181</v>
      </c>
      <c r="D116" s="470"/>
      <c r="E116" s="470"/>
      <c r="F116" s="470"/>
      <c r="G116" s="470"/>
      <c r="H116" s="470"/>
      <c r="I116" s="470"/>
      <c r="J116" s="470"/>
      <c r="K116" s="470"/>
      <c r="L116" s="470"/>
      <c r="M116" s="34"/>
      <c r="N116" s="374"/>
      <c r="P116" s="464" t="s">
        <v>40</v>
      </c>
      <c r="Q116" s="465"/>
      <c r="R116" s="464" t="s">
        <v>41</v>
      </c>
      <c r="S116" s="464" t="s">
        <v>42</v>
      </c>
      <c r="T116" s="465"/>
      <c r="U116" s="464" t="s">
        <v>43</v>
      </c>
      <c r="V116" s="464" t="s">
        <v>44</v>
      </c>
      <c r="X116" s="469"/>
      <c r="Y116" s="469"/>
      <c r="Z116" s="469"/>
      <c r="AA116" s="469"/>
      <c r="AB116" s="469"/>
      <c r="AE116" s="351">
        <v>2</v>
      </c>
      <c r="AF116" s="351">
        <v>1</v>
      </c>
    </row>
    <row r="117" spans="2:32" ht="15" customHeight="1">
      <c r="B117" s="53"/>
      <c r="C117" s="34" t="s">
        <v>182</v>
      </c>
      <c r="D117" s="34"/>
      <c r="E117" s="34"/>
      <c r="F117" s="34"/>
      <c r="G117" s="471" t="s">
        <v>53</v>
      </c>
      <c r="H117" s="471"/>
      <c r="I117" s="471"/>
      <c r="J117" s="34" t="s">
        <v>159</v>
      </c>
      <c r="K117" s="34"/>
      <c r="L117" s="34"/>
      <c r="M117" s="34"/>
      <c r="N117" s="374"/>
      <c r="P117" s="465"/>
      <c r="Q117" s="465"/>
      <c r="R117" s="465"/>
      <c r="S117" s="465"/>
      <c r="T117" s="465"/>
      <c r="U117" s="465"/>
      <c r="V117" s="465"/>
      <c r="X117" s="469"/>
      <c r="Y117" s="469"/>
      <c r="Z117" s="469"/>
      <c r="AA117" s="469"/>
      <c r="AB117" s="469"/>
      <c r="AE117" s="351"/>
      <c r="AF117" s="351">
        <v>2</v>
      </c>
    </row>
    <row r="118" spans="2:29" ht="15" customHeight="1">
      <c r="B118" s="53"/>
      <c r="C118" s="34"/>
      <c r="D118" s="34"/>
      <c r="E118" s="34"/>
      <c r="F118" s="34"/>
      <c r="G118" s="470" t="s">
        <v>183</v>
      </c>
      <c r="H118" s="470"/>
      <c r="I118" s="470"/>
      <c r="J118" s="34"/>
      <c r="K118" s="34"/>
      <c r="L118" s="34"/>
      <c r="M118" s="34"/>
      <c r="N118" s="374"/>
      <c r="P118" s="465"/>
      <c r="Q118" s="465"/>
      <c r="R118" s="465"/>
      <c r="S118" s="465"/>
      <c r="T118" s="465"/>
      <c r="U118" s="465"/>
      <c r="V118" s="465"/>
      <c r="X118" s="340"/>
      <c r="Y118" s="340"/>
      <c r="Z118" s="352"/>
      <c r="AA118" s="340"/>
      <c r="AB118" s="353"/>
      <c r="AC118" s="338"/>
    </row>
    <row r="119" spans="2:29" ht="15" customHeight="1">
      <c r="B119" s="53"/>
      <c r="C119" s="34"/>
      <c r="D119" s="34"/>
      <c r="E119" s="34"/>
      <c r="F119" s="34"/>
      <c r="G119" s="34"/>
      <c r="H119" s="34"/>
      <c r="I119" s="34"/>
      <c r="J119" s="34"/>
      <c r="K119" s="34"/>
      <c r="L119" s="34"/>
      <c r="M119" s="34"/>
      <c r="N119" s="379"/>
      <c r="O119" s="268"/>
      <c r="P119" s="268" t="str">
        <f>IF($C$107="","",IF(Y107="",VLOOKUP($C$107,календарь!$C$3:$E$14,3,0),VLOOKUP(Y107,календарь!$C$3:$E$14,3,0)))</f>
        <v>Сентябрь</v>
      </c>
      <c r="Q119" s="354">
        <f>IF($C107="январь",Z107-1,Z107)</f>
        <v>2020</v>
      </c>
      <c r="R119" s="340">
        <f>IF(P119="","",VLOOKUP(W119,календарь!$F$3:$H$64,2,0))</f>
        <v>1264.5</v>
      </c>
      <c r="S119" s="340" t="str">
        <f aca="true" t="shared" si="4" ref="S119:S124">$C107</f>
        <v>Октябрь</v>
      </c>
      <c r="T119" s="352">
        <f>VLOOKUP(S119,календарь!$C$3:$D$14,2,0)</f>
        <v>31</v>
      </c>
      <c r="U119" s="340">
        <f aca="true" t="shared" si="5" ref="U119:U124">$E107</f>
        <v>27</v>
      </c>
      <c r="V119" s="346">
        <f aca="true" t="shared" si="6" ref="V119:V124">IF(T119&gt;0,ROUND(R119*3/T119*U119,2),0)</f>
        <v>3304.02</v>
      </c>
      <c r="W119" s="338" t="str">
        <f aca="true" t="shared" si="7" ref="W119:W124">CONCATENATE(P119,Q119)</f>
        <v>Сентябрь2020</v>
      </c>
      <c r="X119" s="340"/>
      <c r="Y119" s="340"/>
      <c r="Z119" s="352"/>
      <c r="AA119" s="340"/>
      <c r="AB119" s="341"/>
      <c r="AC119" s="338"/>
    </row>
    <row r="120" spans="2:29" ht="15" customHeight="1">
      <c r="B120" s="53"/>
      <c r="C120" s="459" t="s">
        <v>283</v>
      </c>
      <c r="D120" s="459"/>
      <c r="E120" s="459"/>
      <c r="F120" s="459"/>
      <c r="G120" s="61"/>
      <c r="H120" s="460"/>
      <c r="I120" s="460"/>
      <c r="J120" s="61"/>
      <c r="K120" s="459" t="s">
        <v>284</v>
      </c>
      <c r="L120" s="459"/>
      <c r="M120" s="34"/>
      <c r="N120" s="379"/>
      <c r="O120" s="268"/>
      <c r="P120" s="268" t="str">
        <f>$P$119</f>
        <v>Сентябрь</v>
      </c>
      <c r="Q120" s="354">
        <f>Q119</f>
        <v>2020</v>
      </c>
      <c r="R120" s="340">
        <f>IF(P120="","",VLOOKUP(W120,календарь!$F$3:$H$64,2,0))</f>
        <v>1264.5</v>
      </c>
      <c r="S120" s="340" t="str">
        <f t="shared" si="4"/>
        <v>Ноябрь</v>
      </c>
      <c r="T120" s="352">
        <f>VLOOKUP(S120,календарь!$C$3:$D$14,2,0)</f>
        <v>30</v>
      </c>
      <c r="U120" s="340">
        <f t="shared" si="5"/>
        <v>30</v>
      </c>
      <c r="V120" s="337">
        <f t="shared" si="6"/>
        <v>3793.5</v>
      </c>
      <c r="W120" s="338" t="str">
        <f t="shared" si="7"/>
        <v>Сентябрь2020</v>
      </c>
      <c r="X120" s="340"/>
      <c r="Y120" s="340"/>
      <c r="Z120" s="352"/>
      <c r="AA120" s="340"/>
      <c r="AB120" s="353"/>
      <c r="AC120" s="338"/>
    </row>
    <row r="121" spans="2:23" ht="15" customHeight="1">
      <c r="B121" s="53"/>
      <c r="C121" s="450" t="s">
        <v>265</v>
      </c>
      <c r="D121" s="450"/>
      <c r="E121" s="450"/>
      <c r="F121" s="450"/>
      <c r="G121" s="34"/>
      <c r="H121" s="450" t="s">
        <v>266</v>
      </c>
      <c r="I121" s="450"/>
      <c r="J121" s="34"/>
      <c r="K121" s="450" t="s">
        <v>267</v>
      </c>
      <c r="L121" s="450"/>
      <c r="M121" s="34"/>
      <c r="N121" s="374"/>
      <c r="P121" s="268" t="str">
        <f>$P$119</f>
        <v>Сентябрь</v>
      </c>
      <c r="Q121" s="354">
        <f>Q120</f>
        <v>2020</v>
      </c>
      <c r="R121" s="340">
        <f>IF(P121="","",VLOOKUP(W121,календарь!$F$3:$H$64,2,0))</f>
        <v>1264.5</v>
      </c>
      <c r="S121" s="340" t="str">
        <f t="shared" si="4"/>
        <v>Декабрь</v>
      </c>
      <c r="T121" s="352">
        <f>VLOOKUP(S121,календарь!$C$3:$D$14,2,0)</f>
        <v>31</v>
      </c>
      <c r="U121" s="340">
        <f t="shared" si="5"/>
        <v>31</v>
      </c>
      <c r="V121" s="346">
        <f t="shared" si="6"/>
        <v>3793.5</v>
      </c>
      <c r="W121" s="338" t="str">
        <f t="shared" si="7"/>
        <v>Сентябрь2020</v>
      </c>
    </row>
    <row r="122" spans="2:23" ht="15" customHeight="1">
      <c r="B122" s="53"/>
      <c r="C122" s="104">
        <f ca="1">TODAY()</f>
        <v>44272</v>
      </c>
      <c r="D122" s="44"/>
      <c r="E122" s="44"/>
      <c r="F122" s="44"/>
      <c r="G122" s="44"/>
      <c r="H122" s="44"/>
      <c r="I122" s="44"/>
      <c r="J122" s="44"/>
      <c r="K122" s="44"/>
      <c r="L122" s="44"/>
      <c r="M122" s="44"/>
      <c r="N122" s="374"/>
      <c r="P122" s="268" t="str">
        <f>$P$119</f>
        <v>Сентябрь</v>
      </c>
      <c r="Q122" s="354">
        <f>Q121</f>
        <v>2020</v>
      </c>
      <c r="R122" s="340">
        <f>IF(P122="","",VLOOKUP(W122,календарь!$F$3:$H$64,2,0))</f>
        <v>1264.5</v>
      </c>
      <c r="S122" s="340" t="str">
        <f t="shared" si="4"/>
        <v>Январь</v>
      </c>
      <c r="T122" s="352">
        <f>VLOOKUP(S122,календарь!$C$3:$D$14,2,0)</f>
        <v>31</v>
      </c>
      <c r="U122" s="340">
        <f t="shared" si="5"/>
        <v>31</v>
      </c>
      <c r="V122" s="346">
        <f t="shared" si="6"/>
        <v>3793.5</v>
      </c>
      <c r="W122" s="338" t="str">
        <f t="shared" si="7"/>
        <v>Сентябрь2020</v>
      </c>
    </row>
    <row r="123" spans="2:57" s="49" customFormat="1" ht="15" customHeight="1" thickBot="1">
      <c r="B123" s="57"/>
      <c r="C123" s="58"/>
      <c r="D123" s="58"/>
      <c r="E123" s="58"/>
      <c r="F123" s="58"/>
      <c r="G123" s="58"/>
      <c r="H123" s="58"/>
      <c r="I123" s="58"/>
      <c r="J123" s="58"/>
      <c r="K123" s="58"/>
      <c r="L123" s="58"/>
      <c r="M123" s="58"/>
      <c r="N123" s="380"/>
      <c r="O123" s="243"/>
      <c r="P123" s="268" t="str">
        <f>$P$119</f>
        <v>Сентябрь</v>
      </c>
      <c r="Q123" s="354">
        <f>Q122</f>
        <v>2020</v>
      </c>
      <c r="R123" s="340">
        <f>IF(P123="","",VLOOKUP(W123,календарь!$F$3:$H$64,2,0))</f>
        <v>1264.5</v>
      </c>
      <c r="S123" s="340" t="str">
        <f t="shared" si="4"/>
        <v>Февраль</v>
      </c>
      <c r="T123" s="352">
        <f>VLOOKUP(S123,календарь!$C$3:$D$14,2,0)</f>
        <v>28</v>
      </c>
      <c r="U123" s="340">
        <f t="shared" si="5"/>
        <v>7</v>
      </c>
      <c r="V123" s="346">
        <f t="shared" si="6"/>
        <v>948.38</v>
      </c>
      <c r="W123" s="338" t="str">
        <f t="shared" si="7"/>
        <v>Сентябрь2020</v>
      </c>
      <c r="X123" s="243"/>
      <c r="Y123" s="243"/>
      <c r="Z123" s="243"/>
      <c r="AA123" s="243"/>
      <c r="AB123" s="243"/>
      <c r="AC123" s="243"/>
      <c r="AD123" s="243"/>
      <c r="AE123" s="243"/>
      <c r="AF123" s="243"/>
      <c r="AG123" s="243"/>
      <c r="AH123" s="243"/>
      <c r="AI123" s="243"/>
      <c r="AJ123" s="243"/>
      <c r="AK123" s="243"/>
      <c r="AL123" s="243"/>
      <c r="AM123" s="314"/>
      <c r="AN123" s="269"/>
      <c r="AO123" s="269"/>
      <c r="AP123" s="269"/>
      <c r="AQ123" s="184"/>
      <c r="AR123" s="184"/>
      <c r="AS123" s="184"/>
      <c r="AT123" s="184"/>
      <c r="AU123" s="184"/>
      <c r="AV123" s="184"/>
      <c r="AW123" s="184"/>
      <c r="AX123" s="184"/>
      <c r="AY123" s="184"/>
      <c r="AZ123" s="184"/>
      <c r="BA123" s="184"/>
      <c r="BB123" s="184"/>
      <c r="BC123" s="184"/>
      <c r="BD123" s="184"/>
      <c r="BE123" s="184"/>
    </row>
    <row r="124" spans="7:57" s="49" customFormat="1" ht="15" customHeight="1">
      <c r="G124" s="51"/>
      <c r="H124" s="51"/>
      <c r="O124" s="243"/>
      <c r="P124" s="268" t="str">
        <f>$P$119</f>
        <v>Сентябрь</v>
      </c>
      <c r="Q124" s="354">
        <f>Q123</f>
        <v>2020</v>
      </c>
      <c r="R124" s="340">
        <f>IF(P124="","",VLOOKUP(W124,календарь!$F$3:$H$64,2,0))</f>
        <v>1264.5</v>
      </c>
      <c r="S124" s="340" t="str">
        <f t="shared" si="4"/>
        <v>Март</v>
      </c>
      <c r="T124" s="352">
        <f>VLOOKUP(S124,календарь!$C$3:$D$14,2,0)</f>
        <v>31</v>
      </c>
      <c r="U124" s="340">
        <f t="shared" si="5"/>
        <v>0</v>
      </c>
      <c r="V124" s="346">
        <f t="shared" si="6"/>
        <v>0</v>
      </c>
      <c r="W124" s="338" t="str">
        <f t="shared" si="7"/>
        <v>Сентябрь2020</v>
      </c>
      <c r="X124" s="243"/>
      <c r="Y124" s="243"/>
      <c r="Z124" s="243"/>
      <c r="AA124" s="243"/>
      <c r="AB124" s="243"/>
      <c r="AC124" s="243"/>
      <c r="AD124" s="243"/>
      <c r="AE124" s="243"/>
      <c r="AF124" s="243"/>
      <c r="AG124" s="243"/>
      <c r="AH124" s="243"/>
      <c r="AI124" s="243"/>
      <c r="AJ124" s="243"/>
      <c r="AK124" s="243"/>
      <c r="AL124" s="243"/>
      <c r="AM124" s="314"/>
      <c r="AN124" s="269"/>
      <c r="AO124" s="269"/>
      <c r="AP124" s="269"/>
      <c r="AQ124" s="184"/>
      <c r="AR124" s="184"/>
      <c r="AS124" s="184"/>
      <c r="AT124" s="184"/>
      <c r="AU124" s="184"/>
      <c r="AV124" s="184"/>
      <c r="AW124" s="184"/>
      <c r="AX124" s="184"/>
      <c r="AY124" s="184"/>
      <c r="AZ124" s="184"/>
      <c r="BA124" s="184"/>
      <c r="BB124" s="184"/>
      <c r="BC124" s="184"/>
      <c r="BD124" s="184"/>
      <c r="BE124" s="184"/>
    </row>
    <row r="125" spans="3:57" s="49" customFormat="1" ht="15" customHeight="1">
      <c r="C125" s="27"/>
      <c r="D125" s="27"/>
      <c r="E125" s="27"/>
      <c r="F125" s="27"/>
      <c r="G125" s="27"/>
      <c r="H125" s="27"/>
      <c r="I125" s="27"/>
      <c r="J125" s="27"/>
      <c r="K125" s="27"/>
      <c r="L125" s="27"/>
      <c r="M125" s="27"/>
      <c r="O125" s="243"/>
      <c r="P125" s="243"/>
      <c r="Q125" s="243"/>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314"/>
      <c r="AN125" s="269"/>
      <c r="AO125" s="269"/>
      <c r="AP125" s="269"/>
      <c r="AQ125" s="184"/>
      <c r="AR125" s="184"/>
      <c r="AS125" s="184"/>
      <c r="AT125" s="184"/>
      <c r="AU125" s="184"/>
      <c r="AV125" s="184"/>
      <c r="AW125" s="184"/>
      <c r="AX125" s="184"/>
      <c r="AY125" s="184"/>
      <c r="AZ125" s="184"/>
      <c r="BA125" s="184"/>
      <c r="BB125" s="184"/>
      <c r="BC125" s="184"/>
      <c r="BD125" s="184"/>
      <c r="BE125" s="184"/>
    </row>
    <row r="126" spans="3:57" s="314" customFormat="1" ht="12" customHeight="1" hidden="1">
      <c r="C126" s="243"/>
      <c r="D126" s="243"/>
      <c r="E126" s="243"/>
      <c r="F126" s="243"/>
      <c r="G126" s="243"/>
      <c r="H126" s="243"/>
      <c r="I126" s="243"/>
      <c r="J126" s="243"/>
      <c r="K126" s="243"/>
      <c r="L126" s="243"/>
      <c r="M126" s="243"/>
      <c r="N126" s="49"/>
      <c r="O126" s="243"/>
      <c r="P126" s="243"/>
      <c r="Q126" s="243"/>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Q126" s="184"/>
      <c r="AR126" s="184"/>
      <c r="AS126" s="184"/>
      <c r="AT126" s="184"/>
      <c r="AU126" s="184"/>
      <c r="AV126" s="184"/>
      <c r="AW126" s="184"/>
      <c r="AX126" s="184"/>
      <c r="AY126" s="184"/>
      <c r="AZ126" s="184"/>
      <c r="BA126" s="184"/>
      <c r="BB126" s="184"/>
      <c r="BC126" s="184"/>
      <c r="BD126" s="184"/>
      <c r="BE126" s="184"/>
    </row>
    <row r="127" spans="3:57" s="314" customFormat="1" ht="12" customHeight="1" hidden="1">
      <c r="C127" s="246" t="s">
        <v>45</v>
      </c>
      <c r="D127" s="315"/>
      <c r="E127" s="315"/>
      <c r="F127" s="315"/>
      <c r="G127" s="243"/>
      <c r="H127" s="243"/>
      <c r="I127" s="243"/>
      <c r="J127" s="243"/>
      <c r="K127" s="243"/>
      <c r="L127" s="243"/>
      <c r="M127" s="243"/>
      <c r="N127" s="49"/>
      <c r="O127" s="243"/>
      <c r="P127" s="243"/>
      <c r="Q127" s="243"/>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Q127" s="184"/>
      <c r="AR127" s="184"/>
      <c r="AS127" s="184"/>
      <c r="AT127" s="184"/>
      <c r="AU127" s="184"/>
      <c r="AV127" s="184"/>
      <c r="AW127" s="184"/>
      <c r="AX127" s="184"/>
      <c r="AY127" s="184"/>
      <c r="AZ127" s="184"/>
      <c r="BA127" s="184"/>
      <c r="BB127" s="184"/>
      <c r="BC127" s="184"/>
      <c r="BD127" s="184"/>
      <c r="BE127" s="184"/>
    </row>
    <row r="128" spans="3:57" s="314" customFormat="1" ht="12" customHeight="1" hidden="1">
      <c r="C128" s="247" t="s">
        <v>46</v>
      </c>
      <c r="D128" s="265"/>
      <c r="E128" s="316"/>
      <c r="F128" s="316"/>
      <c r="G128" s="243"/>
      <c r="H128" s="243"/>
      <c r="I128" s="243"/>
      <c r="J128" s="243"/>
      <c r="K128" s="243"/>
      <c r="L128" s="243"/>
      <c r="M128" s="243"/>
      <c r="N128" s="49"/>
      <c r="O128" s="243"/>
      <c r="P128" s="243"/>
      <c r="Q128" s="243"/>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Q128" s="184"/>
      <c r="AR128" s="184"/>
      <c r="AS128" s="184"/>
      <c r="AT128" s="184"/>
      <c r="AU128" s="184"/>
      <c r="AV128" s="184"/>
      <c r="AW128" s="184"/>
      <c r="AX128" s="184"/>
      <c r="AY128" s="184"/>
      <c r="AZ128" s="184"/>
      <c r="BA128" s="184"/>
      <c r="BB128" s="184"/>
      <c r="BC128" s="184"/>
      <c r="BD128" s="184"/>
      <c r="BE128" s="184"/>
    </row>
    <row r="129" spans="3:57" s="314" customFormat="1" ht="12" customHeight="1" hidden="1">
      <c r="C129" s="248" t="s">
        <v>47</v>
      </c>
      <c r="D129" s="243"/>
      <c r="E129" s="243"/>
      <c r="F129" s="243"/>
      <c r="G129" s="243"/>
      <c r="H129" s="243"/>
      <c r="I129" s="243"/>
      <c r="J129" s="243"/>
      <c r="K129" s="243"/>
      <c r="L129" s="243"/>
      <c r="M129" s="243"/>
      <c r="N129" s="49"/>
      <c r="O129" s="243"/>
      <c r="P129" s="243"/>
      <c r="Q129" s="24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Q129" s="184"/>
      <c r="AR129" s="184"/>
      <c r="AS129" s="184"/>
      <c r="AT129" s="184"/>
      <c r="AU129" s="184"/>
      <c r="AV129" s="184"/>
      <c r="AW129" s="184"/>
      <c r="AX129" s="184"/>
      <c r="AY129" s="184"/>
      <c r="AZ129" s="184"/>
      <c r="BA129" s="184"/>
      <c r="BB129" s="184"/>
      <c r="BC129" s="184"/>
      <c r="BD129" s="184"/>
      <c r="BE129" s="184"/>
    </row>
    <row r="130" spans="3:57" s="314" customFormat="1" ht="12" customHeight="1" hidden="1">
      <c r="C130" s="249" t="s">
        <v>48</v>
      </c>
      <c r="N130" s="4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Q130" s="184"/>
      <c r="AR130" s="184"/>
      <c r="AS130" s="184"/>
      <c r="AT130" s="184"/>
      <c r="AU130" s="184"/>
      <c r="AV130" s="184"/>
      <c r="AW130" s="184"/>
      <c r="AX130" s="184"/>
      <c r="AY130" s="184"/>
      <c r="AZ130" s="184"/>
      <c r="BA130" s="184"/>
      <c r="BB130" s="184"/>
      <c r="BC130" s="184"/>
      <c r="BD130" s="184"/>
      <c r="BE130" s="184"/>
    </row>
    <row r="131" spans="3:57" s="314" customFormat="1" ht="12" customHeight="1" hidden="1">
      <c r="C131" s="249" t="s">
        <v>49</v>
      </c>
      <c r="N131" s="49"/>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Q131" s="184"/>
      <c r="AR131" s="184"/>
      <c r="AS131" s="184"/>
      <c r="AT131" s="184"/>
      <c r="AU131" s="184"/>
      <c r="AV131" s="184"/>
      <c r="AW131" s="184"/>
      <c r="AX131" s="184"/>
      <c r="AY131" s="184"/>
      <c r="AZ131" s="184"/>
      <c r="BA131" s="184"/>
      <c r="BB131" s="184"/>
      <c r="BC131" s="184"/>
      <c r="BD131" s="184"/>
      <c r="BE131" s="184"/>
    </row>
    <row r="132" spans="3:57" s="314" customFormat="1" ht="12" customHeight="1" hidden="1">
      <c r="C132" s="249" t="s">
        <v>50</v>
      </c>
      <c r="N132" s="49"/>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Q132" s="184"/>
      <c r="AR132" s="184"/>
      <c r="AS132" s="184"/>
      <c r="AT132" s="184"/>
      <c r="AU132" s="184"/>
      <c r="AV132" s="184"/>
      <c r="AW132" s="184"/>
      <c r="AX132" s="184"/>
      <c r="AY132" s="184"/>
      <c r="AZ132" s="184"/>
      <c r="BA132" s="184"/>
      <c r="BB132" s="184"/>
      <c r="BC132" s="184"/>
      <c r="BD132" s="184"/>
      <c r="BE132" s="184"/>
    </row>
    <row r="133" spans="3:57" s="314" customFormat="1" ht="12" customHeight="1" hidden="1">
      <c r="C133" s="249" t="s">
        <v>51</v>
      </c>
      <c r="N133" s="49"/>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Q133" s="184"/>
      <c r="AR133" s="184"/>
      <c r="AS133" s="184"/>
      <c r="AT133" s="184"/>
      <c r="AU133" s="184"/>
      <c r="AV133" s="184"/>
      <c r="AW133" s="184"/>
      <c r="AX133" s="184"/>
      <c r="AY133" s="184"/>
      <c r="AZ133" s="184"/>
      <c r="BA133" s="184"/>
      <c r="BB133" s="184"/>
      <c r="BC133" s="184"/>
      <c r="BD133" s="184"/>
      <c r="BE133" s="184"/>
    </row>
    <row r="134" spans="3:57" s="314" customFormat="1" ht="12" customHeight="1" hidden="1">
      <c r="C134" s="249" t="s">
        <v>52</v>
      </c>
      <c r="N134" s="49"/>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Q134" s="184"/>
      <c r="AR134" s="184"/>
      <c r="AS134" s="184"/>
      <c r="AT134" s="184"/>
      <c r="AU134" s="184"/>
      <c r="AV134" s="184"/>
      <c r="AW134" s="184"/>
      <c r="AX134" s="184"/>
      <c r="AY134" s="184"/>
      <c r="AZ134" s="184"/>
      <c r="BA134" s="184"/>
      <c r="BB134" s="184"/>
      <c r="BC134" s="184"/>
      <c r="BD134" s="184"/>
      <c r="BE134" s="184"/>
    </row>
    <row r="135" spans="3:57" s="314" customFormat="1" ht="12" customHeight="1" hidden="1">
      <c r="C135" s="249" t="s">
        <v>53</v>
      </c>
      <c r="N135" s="49"/>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Q135" s="184"/>
      <c r="AR135" s="184"/>
      <c r="AS135" s="184"/>
      <c r="AT135" s="184"/>
      <c r="AU135" s="184"/>
      <c r="AV135" s="184"/>
      <c r="AW135" s="184"/>
      <c r="AX135" s="184"/>
      <c r="AY135" s="184"/>
      <c r="AZ135" s="184"/>
      <c r="BA135" s="184"/>
      <c r="BB135" s="184"/>
      <c r="BC135" s="184"/>
      <c r="BD135" s="184"/>
      <c r="BE135" s="184"/>
    </row>
    <row r="136" spans="3:57" s="314" customFormat="1" ht="12" customHeight="1" hidden="1">
      <c r="C136" s="249" t="s">
        <v>54</v>
      </c>
      <c r="N136" s="49"/>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Q136" s="184"/>
      <c r="AR136" s="184"/>
      <c r="AS136" s="184"/>
      <c r="AT136" s="184"/>
      <c r="AU136" s="184"/>
      <c r="AV136" s="184"/>
      <c r="AW136" s="184"/>
      <c r="AX136" s="184"/>
      <c r="AY136" s="184"/>
      <c r="AZ136" s="184"/>
      <c r="BA136" s="184"/>
      <c r="BB136" s="184"/>
      <c r="BC136" s="184"/>
      <c r="BD136" s="184"/>
      <c r="BE136" s="184"/>
    </row>
    <row r="137" spans="3:57" s="314" customFormat="1" ht="12" customHeight="1" hidden="1">
      <c r="C137" s="249" t="s">
        <v>55</v>
      </c>
      <c r="N137" s="49"/>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Q137" s="184"/>
      <c r="AR137" s="184"/>
      <c r="AS137" s="184"/>
      <c r="AT137" s="184"/>
      <c r="AU137" s="184"/>
      <c r="AV137" s="184"/>
      <c r="AW137" s="184"/>
      <c r="AX137" s="184"/>
      <c r="AY137" s="184"/>
      <c r="AZ137" s="184"/>
      <c r="BA137" s="184"/>
      <c r="BB137" s="184"/>
      <c r="BC137" s="184"/>
      <c r="BD137" s="184"/>
      <c r="BE137" s="184"/>
    </row>
    <row r="138" spans="3:57" s="314" customFormat="1" ht="12" customHeight="1" hidden="1">
      <c r="C138" s="249" t="s">
        <v>56</v>
      </c>
      <c r="N138" s="49"/>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Q138" s="184"/>
      <c r="AR138" s="184"/>
      <c r="AS138" s="184"/>
      <c r="AT138" s="184"/>
      <c r="AU138" s="184"/>
      <c r="AV138" s="184"/>
      <c r="AW138" s="184"/>
      <c r="AX138" s="184"/>
      <c r="AY138" s="184"/>
      <c r="AZ138" s="184"/>
      <c r="BA138" s="184"/>
      <c r="BB138" s="184"/>
      <c r="BC138" s="184"/>
      <c r="BD138" s="184"/>
      <c r="BE138" s="184"/>
    </row>
    <row r="139" spans="14:57" s="314" customFormat="1" ht="12" customHeight="1" hidden="1">
      <c r="N139" s="49"/>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Q139" s="184"/>
      <c r="AR139" s="184"/>
      <c r="AS139" s="184"/>
      <c r="AT139" s="184"/>
      <c r="AU139" s="184"/>
      <c r="AV139" s="184"/>
      <c r="AW139" s="184"/>
      <c r="AX139" s="184"/>
      <c r="AY139" s="184"/>
      <c r="AZ139" s="184"/>
      <c r="BA139" s="184"/>
      <c r="BB139" s="184"/>
      <c r="BC139" s="184"/>
      <c r="BD139" s="184"/>
      <c r="BE139" s="184"/>
    </row>
    <row r="140" spans="14:57" s="314" customFormat="1" ht="12" customHeight="1" hidden="1">
      <c r="N140" s="49"/>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Q140" s="184"/>
      <c r="AR140" s="184"/>
      <c r="AS140" s="184"/>
      <c r="AT140" s="184"/>
      <c r="AU140" s="184"/>
      <c r="AV140" s="184"/>
      <c r="AW140" s="184"/>
      <c r="AX140" s="184"/>
      <c r="AY140" s="184"/>
      <c r="AZ140" s="184"/>
      <c r="BA140" s="184"/>
      <c r="BB140" s="184"/>
      <c r="BC140" s="184"/>
      <c r="BD140" s="184"/>
      <c r="BE140" s="184"/>
    </row>
    <row r="141" spans="14:39" s="266" customFormat="1" ht="13.5" customHeight="1" hidden="1">
      <c r="N141" s="370"/>
      <c r="R141" s="317"/>
      <c r="S141" s="317"/>
      <c r="T141" s="317"/>
      <c r="U141" s="317"/>
      <c r="V141" s="317"/>
      <c r="W141" s="317"/>
      <c r="X141" s="317"/>
      <c r="Y141" s="317"/>
      <c r="Z141" s="317"/>
      <c r="AA141" s="317"/>
      <c r="AB141" s="317"/>
      <c r="AC141" s="317"/>
      <c r="AD141" s="317"/>
      <c r="AE141" s="317"/>
      <c r="AF141" s="317"/>
      <c r="AG141" s="318">
        <f>INT(AH141)</f>
        <v>3695</v>
      </c>
      <c r="AH141" s="318">
        <f>L113</f>
        <v>3695.58</v>
      </c>
      <c r="AI141" s="317"/>
      <c r="AJ141" s="317"/>
      <c r="AK141" s="317"/>
      <c r="AL141" s="317"/>
      <c r="AM141" s="317"/>
    </row>
    <row r="142" spans="14:39" s="266" customFormat="1" ht="13.5" customHeight="1" hidden="1">
      <c r="N142" s="370"/>
      <c r="R142" s="317"/>
      <c r="S142" s="317"/>
      <c r="T142" s="317"/>
      <c r="U142" s="317"/>
      <c r="V142" s="317"/>
      <c r="W142" s="317"/>
      <c r="X142" s="317"/>
      <c r="Y142" s="317"/>
      <c r="Z142" s="317"/>
      <c r="AA142" s="317"/>
      <c r="AB142" s="317"/>
      <c r="AC142" s="317"/>
      <c r="AD142" s="317"/>
      <c r="AE142" s="317"/>
      <c r="AF142" s="317">
        <v>1</v>
      </c>
      <c r="AG142" s="319">
        <f>AG141-INT(AG141/10)*10</f>
        <v>5</v>
      </c>
      <c r="AH142" s="318">
        <f>ROUND((AH141-AG141)*100,0)</f>
        <v>58</v>
      </c>
      <c r="AI142" s="317"/>
      <c r="AJ142" s="317"/>
      <c r="AK142" s="317"/>
      <c r="AL142" s="317"/>
      <c r="AM142" s="317"/>
    </row>
    <row r="143" spans="14:39" s="266" customFormat="1" ht="12" customHeight="1" hidden="1">
      <c r="N143" s="370"/>
      <c r="R143" s="317"/>
      <c r="S143" s="317"/>
      <c r="T143" s="317"/>
      <c r="U143" s="317"/>
      <c r="V143" s="317"/>
      <c r="W143" s="317"/>
      <c r="X143" s="317"/>
      <c r="Y143" s="317"/>
      <c r="Z143" s="317"/>
      <c r="AA143" s="317"/>
      <c r="AB143" s="317"/>
      <c r="AC143" s="317"/>
      <c r="AD143" s="317"/>
      <c r="AE143" s="317"/>
      <c r="AF143" s="317">
        <v>2</v>
      </c>
      <c r="AG143" s="320">
        <f>IF(AND(AG142+AG144&gt;=11,AG142+AG144&lt;=19),AG142+AG144,0)</f>
        <v>0</v>
      </c>
      <c r="AH143" s="320">
        <f>INT(AH142)</f>
        <v>58</v>
      </c>
      <c r="AI143" s="317"/>
      <c r="AJ143" s="317"/>
      <c r="AK143" s="317"/>
      <c r="AL143" s="317"/>
      <c r="AM143" s="317"/>
    </row>
    <row r="144" spans="14:39" s="266" customFormat="1" ht="12" customHeight="1" hidden="1">
      <c r="N144" s="370"/>
      <c r="R144" s="317"/>
      <c r="S144" s="317"/>
      <c r="T144" s="317"/>
      <c r="U144" s="317"/>
      <c r="V144" s="317"/>
      <c r="W144" s="317"/>
      <c r="X144" s="317"/>
      <c r="Y144" s="317"/>
      <c r="Z144" s="317"/>
      <c r="AA144" s="317"/>
      <c r="AB144" s="317"/>
      <c r="AC144" s="317"/>
      <c r="AD144" s="317"/>
      <c r="AE144" s="317"/>
      <c r="AF144" s="317">
        <v>3</v>
      </c>
      <c r="AG144" s="320">
        <f>AG141-INT(AG141/100)*100-AG142</f>
        <v>90</v>
      </c>
      <c r="AH144" s="320">
        <f>IF(AH143=0,"",AH143-INT(AH143/10)*10)</f>
        <v>8</v>
      </c>
      <c r="AI144" s="317"/>
      <c r="AJ144" s="317"/>
      <c r="AK144" s="317"/>
      <c r="AL144" s="317"/>
      <c r="AM144" s="317"/>
    </row>
    <row r="145" spans="14:39" s="266" customFormat="1" ht="12" customHeight="1" hidden="1">
      <c r="N145" s="370"/>
      <c r="R145" s="317"/>
      <c r="S145" s="317"/>
      <c r="T145" s="317"/>
      <c r="U145" s="317"/>
      <c r="V145" s="317"/>
      <c r="W145" s="317"/>
      <c r="X145" s="317"/>
      <c r="Y145" s="317"/>
      <c r="Z145" s="317"/>
      <c r="AA145" s="317"/>
      <c r="AB145" s="317"/>
      <c r="AC145" s="317"/>
      <c r="AD145" s="317"/>
      <c r="AE145" s="317"/>
      <c r="AF145" s="317">
        <v>4</v>
      </c>
      <c r="AG145" s="320">
        <f>AG141-INT(AG141/1000)*1000-AG144-AG142</f>
        <v>600</v>
      </c>
      <c r="AH145" s="321">
        <f>IF(AH143=0,"",AH143)</f>
        <v>58</v>
      </c>
      <c r="AI145" s="317">
        <v>0</v>
      </c>
      <c r="AJ145" s="317" t="s">
        <v>352</v>
      </c>
      <c r="AK145" s="317"/>
      <c r="AL145" s="317"/>
      <c r="AM145" s="317"/>
    </row>
    <row r="146" spans="14:39" s="266" customFormat="1" ht="12" customHeight="1" hidden="1">
      <c r="N146" s="370"/>
      <c r="R146" s="317"/>
      <c r="S146" s="317"/>
      <c r="T146" s="317"/>
      <c r="U146" s="317"/>
      <c r="V146" s="317"/>
      <c r="W146" s="317"/>
      <c r="X146" s="317"/>
      <c r="Y146" s="317"/>
      <c r="Z146" s="317"/>
      <c r="AA146" s="317"/>
      <c r="AB146" s="317"/>
      <c r="AC146" s="317"/>
      <c r="AD146" s="317"/>
      <c r="AE146" s="317"/>
      <c r="AF146" s="317">
        <v>5</v>
      </c>
      <c r="AG146" s="320">
        <f>AG141-INT(AG141/10000)*10000-AG144-AG142-AG145</f>
        <v>3000</v>
      </c>
      <c r="AH146" s="317">
        <f>AG146/1000</f>
        <v>3</v>
      </c>
      <c r="AI146" s="317"/>
      <c r="AJ146" s="317"/>
      <c r="AK146" s="317"/>
      <c r="AL146" s="317"/>
      <c r="AM146" s="317"/>
    </row>
    <row r="147" spans="14:39" s="266" customFormat="1" ht="12" customHeight="1" hidden="1">
      <c r="N147" s="370"/>
      <c r="R147" s="317"/>
      <c r="S147" s="317"/>
      <c r="T147" s="317"/>
      <c r="U147" s="317"/>
      <c r="V147" s="317"/>
      <c r="W147" s="317"/>
      <c r="X147" s="317"/>
      <c r="Y147" s="317"/>
      <c r="Z147" s="317"/>
      <c r="AA147" s="317"/>
      <c r="AB147" s="317"/>
      <c r="AC147" s="317"/>
      <c r="AD147" s="317"/>
      <c r="AE147" s="317"/>
      <c r="AF147" s="317">
        <v>6</v>
      </c>
      <c r="AG147" s="317"/>
      <c r="AH147" s="320">
        <f>IF(AND(AH146+AH148&gt;=11,AH146+AH148&lt;=19),AH146+AH148,0)</f>
        <v>0</v>
      </c>
      <c r="AI147" s="317"/>
      <c r="AJ147" s="317"/>
      <c r="AK147" s="317"/>
      <c r="AL147" s="317"/>
      <c r="AM147" s="317"/>
    </row>
    <row r="148" spans="14:39" s="266" customFormat="1" ht="12" customHeight="1" hidden="1">
      <c r="N148" s="370"/>
      <c r="R148" s="317"/>
      <c r="S148" s="317"/>
      <c r="T148" s="317"/>
      <c r="U148" s="317"/>
      <c r="V148" s="317"/>
      <c r="W148" s="317"/>
      <c r="X148" s="317"/>
      <c r="Y148" s="317"/>
      <c r="Z148" s="317"/>
      <c r="AA148" s="317"/>
      <c r="AB148" s="317"/>
      <c r="AC148" s="317"/>
      <c r="AD148" s="317"/>
      <c r="AE148" s="317"/>
      <c r="AF148" s="317">
        <v>7</v>
      </c>
      <c r="AG148" s="320">
        <f>AG141-INT(AG141/100000)*100000-AG144-AG142-AG145-AG146</f>
        <v>0</v>
      </c>
      <c r="AH148" s="317">
        <f>AG148/1000</f>
        <v>0</v>
      </c>
      <c r="AI148" s="317"/>
      <c r="AJ148" s="317"/>
      <c r="AK148" s="317"/>
      <c r="AL148" s="317"/>
      <c r="AM148" s="317"/>
    </row>
    <row r="149" spans="14:39" s="266" customFormat="1" ht="12" customHeight="1" hidden="1">
      <c r="N149" s="370"/>
      <c r="R149" s="317"/>
      <c r="S149" s="317"/>
      <c r="T149" s="317"/>
      <c r="U149" s="317"/>
      <c r="V149" s="317"/>
      <c r="W149" s="317"/>
      <c r="X149" s="317"/>
      <c r="Y149" s="317"/>
      <c r="Z149" s="317"/>
      <c r="AA149" s="317"/>
      <c r="AB149" s="317"/>
      <c r="AC149" s="317"/>
      <c r="AD149" s="317"/>
      <c r="AE149" s="317"/>
      <c r="AF149" s="317">
        <v>8</v>
      </c>
      <c r="AG149" s="320">
        <f>AG141-INT(AG141/1000000)*1000000-AG144-AG142-AG145-AG146-AG148</f>
        <v>0</v>
      </c>
      <c r="AH149" s="317">
        <f>AG149/1000</f>
        <v>0</v>
      </c>
      <c r="AI149" s="317"/>
      <c r="AJ149" s="317"/>
      <c r="AK149" s="317"/>
      <c r="AL149" s="317"/>
      <c r="AM149" s="317"/>
    </row>
    <row r="150" spans="14:39" s="266" customFormat="1" ht="12" customHeight="1" hidden="1">
      <c r="N150" s="370"/>
      <c r="R150" s="317"/>
      <c r="S150" s="317"/>
      <c r="T150" s="317"/>
      <c r="U150" s="317"/>
      <c r="V150" s="317"/>
      <c r="W150" s="317"/>
      <c r="X150" s="317"/>
      <c r="Y150" s="317"/>
      <c r="Z150" s="317"/>
      <c r="AA150" s="317"/>
      <c r="AB150" s="317"/>
      <c r="AC150" s="317"/>
      <c r="AD150" s="317"/>
      <c r="AE150" s="317"/>
      <c r="AF150" s="317">
        <v>9</v>
      </c>
      <c r="AG150" s="320">
        <f>AG141-INT(AG141/10000000)*10000000-AG144-AG142-AG145-AG146-AG148-AG149</f>
        <v>0</v>
      </c>
      <c r="AH150" s="317">
        <f>AG150/1000000</f>
        <v>0</v>
      </c>
      <c r="AI150" s="317"/>
      <c r="AJ150" s="317"/>
      <c r="AK150" s="317"/>
      <c r="AL150" s="317"/>
      <c r="AM150" s="317"/>
    </row>
    <row r="151" spans="14:39" s="266" customFormat="1" ht="12" customHeight="1" hidden="1">
      <c r="N151" s="370"/>
      <c r="R151" s="317"/>
      <c r="S151" s="317"/>
      <c r="T151" s="317"/>
      <c r="U151" s="317"/>
      <c r="V151" s="317"/>
      <c r="W151" s="317"/>
      <c r="X151" s="317"/>
      <c r="Y151" s="317"/>
      <c r="Z151" s="317"/>
      <c r="AA151" s="317"/>
      <c r="AB151" s="317"/>
      <c r="AC151" s="317"/>
      <c r="AD151" s="317"/>
      <c r="AE151" s="317"/>
      <c r="AF151" s="317">
        <v>10</v>
      </c>
      <c r="AG151" s="317"/>
      <c r="AH151" s="320">
        <f>IF(AND(AH150+AH152&gt;=11,AH150+AH152&lt;=19),AH150+AH152,0)</f>
        <v>0</v>
      </c>
      <c r="AI151" s="317"/>
      <c r="AJ151" s="317"/>
      <c r="AK151" s="317"/>
      <c r="AL151" s="317"/>
      <c r="AM151" s="317"/>
    </row>
    <row r="152" spans="14:39" s="266" customFormat="1" ht="12" customHeight="1" hidden="1">
      <c r="N152" s="370"/>
      <c r="R152" s="317"/>
      <c r="S152" s="317"/>
      <c r="T152" s="317"/>
      <c r="U152" s="317"/>
      <c r="V152" s="317"/>
      <c r="W152" s="317"/>
      <c r="X152" s="317"/>
      <c r="Y152" s="317"/>
      <c r="Z152" s="317"/>
      <c r="AA152" s="317"/>
      <c r="AB152" s="317"/>
      <c r="AC152" s="317"/>
      <c r="AD152" s="317"/>
      <c r="AE152" s="317"/>
      <c r="AF152" s="317">
        <v>11</v>
      </c>
      <c r="AG152" s="320">
        <f>AG141-INT(AG141/100000000)*100000000-AG144-AG142-AG145-AG146-AG148-AG149-AG150</f>
        <v>0</v>
      </c>
      <c r="AH152" s="317">
        <f>AG152/1000000</f>
        <v>0</v>
      </c>
      <c r="AI152" s="317"/>
      <c r="AJ152" s="317"/>
      <c r="AK152" s="317"/>
      <c r="AL152" s="317"/>
      <c r="AM152" s="317"/>
    </row>
    <row r="153" spans="14:39" s="266" customFormat="1" ht="12" customHeight="1" hidden="1">
      <c r="N153" s="370"/>
      <c r="R153" s="317"/>
      <c r="S153" s="317"/>
      <c r="T153" s="317"/>
      <c r="U153" s="317"/>
      <c r="V153" s="317"/>
      <c r="W153" s="317"/>
      <c r="X153" s="317"/>
      <c r="Y153" s="317"/>
      <c r="Z153" s="317"/>
      <c r="AA153" s="317"/>
      <c r="AB153" s="317"/>
      <c r="AC153" s="317"/>
      <c r="AD153" s="317"/>
      <c r="AE153" s="317"/>
      <c r="AF153" s="317">
        <v>12</v>
      </c>
      <c r="AG153" s="320">
        <f>AG141-INT(AG141/1000000000)*1000000000-AG144-AG142-AG145-AG146-AG148-AG149-AG150-AG152</f>
        <v>0</v>
      </c>
      <c r="AH153" s="317">
        <f>AG153/1000000</f>
        <v>0</v>
      </c>
      <c r="AI153" s="317"/>
      <c r="AJ153" s="317"/>
      <c r="AK153" s="317"/>
      <c r="AL153" s="317"/>
      <c r="AM153" s="317"/>
    </row>
    <row r="154" spans="14:39" s="266" customFormat="1" ht="12" customHeight="1" hidden="1">
      <c r="N154" s="370"/>
      <c r="R154" s="317"/>
      <c r="S154" s="317"/>
      <c r="T154" s="317"/>
      <c r="U154" s="317"/>
      <c r="V154" s="317"/>
      <c r="W154" s="317"/>
      <c r="X154" s="317"/>
      <c r="Y154" s="317"/>
      <c r="Z154" s="317"/>
      <c r="AA154" s="317"/>
      <c r="AB154" s="317"/>
      <c r="AC154" s="317"/>
      <c r="AD154" s="317"/>
      <c r="AE154" s="317"/>
      <c r="AF154" s="317">
        <v>13</v>
      </c>
      <c r="AG154" s="320">
        <f>AG141-INT(AG141/10000000000)*10000000000-AG144-AG142-AG145-AG146-AG148-AG149-AG150-AG152-AG153</f>
        <v>0</v>
      </c>
      <c r="AH154" s="317">
        <f>AG154/1000000000</f>
        <v>0</v>
      </c>
      <c r="AI154" s="317"/>
      <c r="AJ154" s="317"/>
      <c r="AK154" s="317"/>
      <c r="AL154" s="317"/>
      <c r="AM154" s="317"/>
    </row>
    <row r="155" spans="14:39" s="266" customFormat="1" ht="12" customHeight="1" hidden="1">
      <c r="N155" s="370"/>
      <c r="R155" s="317"/>
      <c r="S155" s="317"/>
      <c r="T155" s="317"/>
      <c r="U155" s="317"/>
      <c r="V155" s="317"/>
      <c r="W155" s="317"/>
      <c r="X155" s="317"/>
      <c r="Y155" s="317"/>
      <c r="Z155" s="317"/>
      <c r="AA155" s="317"/>
      <c r="AB155" s="317"/>
      <c r="AC155" s="317"/>
      <c r="AD155" s="317"/>
      <c r="AE155" s="317"/>
      <c r="AF155" s="317">
        <v>14</v>
      </c>
      <c r="AG155" s="320"/>
      <c r="AH155" s="320">
        <f>IF(AND(AH154+AH156&gt;=11,AH154+AH156&lt;=19),AH154+AH156,0)</f>
        <v>0</v>
      </c>
      <c r="AI155" s="317"/>
      <c r="AJ155" s="317"/>
      <c r="AK155" s="317"/>
      <c r="AL155" s="317"/>
      <c r="AM155" s="317"/>
    </row>
    <row r="156" spans="14:39" s="266" customFormat="1" ht="12" customHeight="1" hidden="1">
      <c r="N156" s="370"/>
      <c r="R156" s="317"/>
      <c r="S156" s="317"/>
      <c r="T156" s="317"/>
      <c r="U156" s="317"/>
      <c r="V156" s="317"/>
      <c r="W156" s="317"/>
      <c r="X156" s="317"/>
      <c r="Y156" s="317"/>
      <c r="Z156" s="317"/>
      <c r="AA156" s="317"/>
      <c r="AB156" s="317"/>
      <c r="AC156" s="317"/>
      <c r="AD156" s="317"/>
      <c r="AE156" s="317"/>
      <c r="AF156" s="317">
        <v>15</v>
      </c>
      <c r="AG156" s="320">
        <f>AG141-INT(AG141/100000000000)*100000000000-AG144-AG142-AG145-AG146-AG148-AG149-AG150-AG152-AG153-AG154</f>
        <v>0</v>
      </c>
      <c r="AH156" s="317">
        <f>AG156/1000000000</f>
        <v>0</v>
      </c>
      <c r="AI156" s="317"/>
      <c r="AJ156" s="317"/>
      <c r="AK156" s="317"/>
      <c r="AL156" s="317"/>
      <c r="AM156" s="317"/>
    </row>
    <row r="157" spans="14:39" s="266" customFormat="1" ht="12" customHeight="1" hidden="1">
      <c r="N157" s="370"/>
      <c r="R157" s="317"/>
      <c r="S157" s="317"/>
      <c r="T157" s="317"/>
      <c r="U157" s="317"/>
      <c r="V157" s="317"/>
      <c r="W157" s="317"/>
      <c r="X157" s="317"/>
      <c r="Y157" s="317"/>
      <c r="Z157" s="317"/>
      <c r="AA157" s="317"/>
      <c r="AB157" s="317"/>
      <c r="AC157" s="317"/>
      <c r="AD157" s="317"/>
      <c r="AE157" s="317"/>
      <c r="AF157" s="317">
        <v>16</v>
      </c>
      <c r="AG157" s="320">
        <f>AG141-INT(AG141/1000000000000)*1000000000000-AG144-AG142-AG145-AG146-AG148-AG149-AG150-AG152-AG153-AG154-AG156</f>
        <v>0</v>
      </c>
      <c r="AH157" s="317">
        <f>AG157/1000000000</f>
        <v>0</v>
      </c>
      <c r="AI157" s="317"/>
      <c r="AJ157" s="317"/>
      <c r="AK157" s="317"/>
      <c r="AL157" s="317"/>
      <c r="AM157" s="317"/>
    </row>
    <row r="158" spans="14:39" s="266" customFormat="1" ht="12" customHeight="1" hidden="1">
      <c r="N158" s="370"/>
      <c r="R158" s="317"/>
      <c r="S158" s="317"/>
      <c r="T158" s="317"/>
      <c r="U158" s="317"/>
      <c r="V158" s="317" t="str">
        <f>IF(AG141+AH141=0,"",IF(AH145&lt;10,AE174&amp;AE173&amp;AE172&amp;AE171&amp;AK171&amp;AE170&amp;AE169&amp;AE168&amp;AE167&amp;AK167&amp;AE166&amp;AE165&amp;AE164&amp;AE163&amp;AK163&amp;AE162&amp;AE161&amp;AE160&amp;AE159&amp;AB163&amp;AI145&amp;AH145&amp;U163&amp;".",AE174&amp;AE173&amp;AE172&amp;AE171&amp;AK171&amp;AE170&amp;AE169&amp;AE168&amp;AE167&amp;AK167&amp;AE166&amp;AE165&amp;AE164&amp;AE163&amp;AK163&amp;AE162&amp;AE161&amp;AE160&amp;AE159&amp;AB163&amp;AH145&amp;U163&amp;"."))</f>
        <v>Три тысячи шестьсот девяносто пять рублей 58 копеек.</v>
      </c>
      <c r="W158" s="317"/>
      <c r="X158" s="317"/>
      <c r="Y158" s="317"/>
      <c r="Z158" s="317"/>
      <c r="AA158" s="317"/>
      <c r="AB158" s="317"/>
      <c r="AC158" s="317"/>
      <c r="AD158" s="317"/>
      <c r="AE158" s="317"/>
      <c r="AF158" s="317"/>
      <c r="AG158" s="322" t="str">
        <f>IF(AG141+AH141=0,"",IF(AH145&lt;10,AE174&amp;AE173&amp;AE172&amp;AE171&amp;AK171&amp;AE170&amp;AE169&amp;AE168&amp;AE167&amp;AK167&amp;AE166&amp;AE165&amp;AE164&amp;AE163&amp;AK163&amp;AE162&amp;AE161&amp;AE160&amp;AE159&amp;AB163&amp;AI145&amp;AH145&amp;Z163&amp;".",AE174&amp;AE173&amp;AE172&amp;AE171&amp;AK171&amp;AE170&amp;AE169&amp;AE168&amp;AE167&amp;AK167&amp;AE166&amp;AE165&amp;AE164&amp;AE163&amp;AK163&amp;AE162&amp;AE161&amp;AE160&amp;AE159&amp;AB163&amp;AH145&amp;Z163&amp;"."))</f>
        <v>Три тысячи шестьсот девяносто пять рублей 58 копеек.</v>
      </c>
      <c r="AH158" s="317"/>
      <c r="AI158" s="317"/>
      <c r="AJ158" s="317"/>
      <c r="AK158" s="317"/>
      <c r="AL158" s="317"/>
      <c r="AM158" s="317"/>
    </row>
    <row r="159" spans="14:39" s="266" customFormat="1" ht="12" customHeight="1" hidden="1">
      <c r="N159" s="370"/>
      <c r="R159" s="317"/>
      <c r="S159" s="317"/>
      <c r="T159" s="317"/>
      <c r="U159" s="323">
        <f>IF(AND(AH143&gt;=11,AH143&lt;=19),"",IF(AH144=1,V159,""))</f>
      </c>
      <c r="V159" s="317" t="s">
        <v>353</v>
      </c>
      <c r="W159" s="317"/>
      <c r="X159" s="317"/>
      <c r="Y159" s="317"/>
      <c r="Z159" s="323">
        <f>IF(AND(AH143&gt;=11,AH143&lt;=19),"",IF(AH144=1,AA159,""))</f>
      </c>
      <c r="AA159" s="317" t="s">
        <v>353</v>
      </c>
      <c r="AB159" s="323">
        <f>IF(AG143&gt;0,"",IF(AND(Z163="",AG142=1),AC159,IF(AG142=1,AC159&amp;" ","")))</f>
      </c>
      <c r="AC159" s="324" t="s">
        <v>356</v>
      </c>
      <c r="AD159" s="317"/>
      <c r="AE159" s="317" t="str">
        <f>IF(SUM(AG143:AG157)=0,PROPER(AG159),AG159)</f>
        <v> пять</v>
      </c>
      <c r="AF159" s="317">
        <v>1</v>
      </c>
      <c r="AG159" s="322" t="str">
        <f>IF(AND(AG143&lt;20,AG143&gt;10),"",AH159&amp;AJ159&amp;AI159)</f>
        <v> пять</v>
      </c>
      <c r="AH159" s="317">
        <f>IF(AL159=3,IF(AG142=1,"один",IF(AG142=2,"два",IF(AG142=3,"три",""))),IF(AG142=1," один",IF(AG142=2," два",IF(AG142=3," три",""))))</f>
      </c>
      <c r="AI159" s="317" t="str">
        <f>IF(AL159=3,IF(AG142=4,"четыре",IF(AG142=5,"пять",IF(AG142=6,"шесть",""))),IF(AG142=4," четыре",IF(AG142=5," пять",IF(AG142=6," шесть",""))))</f>
        <v> пять</v>
      </c>
      <c r="AJ159" s="317">
        <f>IF(AL159=3,IF(AG142=7,"семь",IF(AG142=8,"восемь",IF(AG142=9,"девять",""))),IF(AG142=7," семь",IF(AG142=8," восемь",IF(AG142=9," девять",""))))</f>
      </c>
      <c r="AK159" s="317"/>
      <c r="AL159" s="317">
        <f>IF(AND(AG174="",AG172="",AG173="",AG171="",AG170="",AG169="",AG168=""),1,0)+IF(AND(AG167="",AG166="",AG165="",AG164="",AG163="",AG162="",AG161=""),1,0)+IF(AG160="",1,0)</f>
        <v>2</v>
      </c>
      <c r="AM159" s="317"/>
    </row>
    <row r="160" spans="14:39" s="266" customFormat="1" ht="12" customHeight="1" hidden="1">
      <c r="N160" s="370"/>
      <c r="R160" s="317"/>
      <c r="S160" s="317"/>
      <c r="T160" s="317"/>
      <c r="U160" s="325">
        <f>IF(AND(AH143&gt;=11,AH143&lt;=19),"",IF(OR(AH144=2,AH144=3,AH144=4),V160,""))</f>
      </c>
      <c r="V160" s="317" t="s">
        <v>354</v>
      </c>
      <c r="W160" s="317"/>
      <c r="X160" s="317"/>
      <c r="Y160" s="317"/>
      <c r="Z160" s="325">
        <f>IF(AND(AH143&gt;=11,AH143&lt;=19),"",IF(OR(AH144=2,AH144=3,AH144=4),AA160,""))</f>
      </c>
      <c r="AA160" s="317" t="s">
        <v>354</v>
      </c>
      <c r="AB160" s="325">
        <f>IF(AG143&gt;0,"",IF(AND(Z163="",OR(AG142=2,AG142=3,AG142=4)),AC160,IF(OR(AG142=2,AG142=3,AG142=4),AC160&amp;" ","")))</f>
      </c>
      <c r="AC160" s="326" t="s">
        <v>357</v>
      </c>
      <c r="AD160" s="317"/>
      <c r="AE160" s="317">
        <f>IF(SUM(AG145:AG157)=0,PROPER(AG160),AG160)</f>
      </c>
      <c r="AF160" s="317">
        <v>2</v>
      </c>
      <c r="AG160" s="322">
        <f>AH160&amp;AJ160&amp;AI160</f>
      </c>
      <c r="AH160" s="317">
        <f>IF(AL160=2,IF(AG143=11,"одиннадцать",IF(AG143=12,"двенадцать",IF(AG143=13,"тринадцать",""))),IF(AG143=11," одиннадцать",IF(AG143=12," двенадцать",IF(AG143=13," тринадцать",""))))</f>
      </c>
      <c r="AI160" s="317">
        <f>IF(AL160=2,IF(AG143=14,"четырнадцать",IF(AG143=15,"пятнадцать",IF(AG143=16,"шестнадцать",""))),IF(AG143=14," четырнадцать",IF(AG143=15," пятнадцать",IF(AG143=16," шестнадцать",""))))</f>
      </c>
      <c r="AJ160" s="317">
        <f>IF(AL160=2,IF(AG143=17,"семнадцать",IF(AG143=18,"восемнадцать",IF(AG143=19,"девятнадцать",""))),IF(AG143=17," семнадцать",IF(AG143=18," восемнадцать",IF(AG143=19," девятнадцать",""))))</f>
      </c>
      <c r="AK160" s="317"/>
      <c r="AL160" s="317">
        <f>IF(AND(AG174="",AG172="",AG173="",AG171="",AG170="",AG169="",AG168=""),1,0)+IF(AND(AG167="",AG166="",AG165="",AG164="",AG163="",AG162="",AG161=""),1,0)</f>
        <v>1</v>
      </c>
      <c r="AM160" s="317"/>
    </row>
    <row r="161" spans="14:39" s="266" customFormat="1" ht="12" customHeight="1" hidden="1">
      <c r="N161" s="370"/>
      <c r="R161" s="317"/>
      <c r="S161" s="317"/>
      <c r="T161" s="317"/>
      <c r="U161" s="325" t="str">
        <f>IF(AND(AH143&gt;=11,AH143&lt;=19),"",IF(OR(AH144=0,AH144=5,AH144=6,AH144=7,AH144=8,AH144=9),V161,""))</f>
        <v> копеек</v>
      </c>
      <c r="V161" s="317" t="s">
        <v>355</v>
      </c>
      <c r="W161" s="317"/>
      <c r="X161" s="317"/>
      <c r="Y161" s="317"/>
      <c r="Z161" s="325" t="str">
        <f>IF(AND(AH143&gt;=11,AH143&lt;=19),"",IF(OR(AH144=0,AH144=5,AH144=6,AH144=7,AH144=8,AH144=9),AA161,""))</f>
        <v> копеек</v>
      </c>
      <c r="AA161" s="317" t="s">
        <v>355</v>
      </c>
      <c r="AB161" s="325" t="str">
        <f>IF(AG143&gt;0,"",IF(AND(Z163="",OR(AG142=0,AG142=5,AG142=6,AG142=7,AG142=8,AG142=9)),AC161,IF(OR(AG142=0,AG142=5,AG142=6,AG142=7,AG142=8,AG142=9),AC161&amp;" ","")))</f>
        <v> рублей </v>
      </c>
      <c r="AC161" s="326" t="s">
        <v>358</v>
      </c>
      <c r="AD161" s="317"/>
      <c r="AE161" s="317" t="str">
        <f>IF(SUM(AG145:AG157)=0,PROPER(AG161),AG161)</f>
        <v> девяносто</v>
      </c>
      <c r="AF161" s="317">
        <v>3</v>
      </c>
      <c r="AG161" s="322" t="str">
        <f>IF(AND(AG143&lt;20,AG143&gt;10),"",AH161&amp;AJ161&amp;AI161)</f>
        <v> девяносто</v>
      </c>
      <c r="AH161" s="317">
        <f>IF(AL161=2,IF(AG144=10,"десять",IF(AG144=20,"двадцать",IF(AG144=30,"тридцать",""))),IF(AG144=10," десять",IF(AG144=20," двадцать",IF(AG144=30," тридцать",""))))</f>
      </c>
      <c r="AI161" s="317">
        <f>IF(AL161=2,IF(AG144=40,"сорок",IF(AG144=50,"пятьдесят",IF(AG144=60,"шестьдесят",""))),IF(AG144=40," сорок",IF(AG144=50," пятьдесят",IF(AG144=60," шестьдесят",""))))</f>
      </c>
      <c r="AJ161" s="317" t="str">
        <f>IF(AL161=2,IF(AG144=70,"семьдесят",IF(AG144=80,"восемьдесят",IF(AG144=90,"девяносто",""))),IF(AG144=70," семьдесят",IF(AG144=80," восемьдесят",IF(AG144=90," девяносто",""))))</f>
        <v> девяносто</v>
      </c>
      <c r="AK161" s="317"/>
      <c r="AL161" s="317">
        <f>IF(AND(AG174="",AG172="",AG173="",AG171="",AG170="",AG169="",AG168=""),1,0)+IF(AND(AG167="",AG166="",AG165="",AG164="",AG163="",AG162=""),1,0)</f>
        <v>1</v>
      </c>
      <c r="AM161" s="317"/>
    </row>
    <row r="162" spans="14:39" s="266" customFormat="1" ht="12" customHeight="1" hidden="1">
      <c r="N162" s="370"/>
      <c r="R162" s="317"/>
      <c r="S162" s="317"/>
      <c r="T162" s="317"/>
      <c r="U162" s="317">
        <f>IF(AND(AH143&gt;=11,AH143&lt;=19),V161,"")</f>
      </c>
      <c r="V162" s="317"/>
      <c r="W162" s="317"/>
      <c r="X162" s="317"/>
      <c r="Y162" s="317"/>
      <c r="Z162" s="317">
        <f>IF(AND(AH143&gt;=11,AH143&lt;=19),AA161,"")</f>
      </c>
      <c r="AA162" s="317"/>
      <c r="AB162" s="317">
        <f>IF(AND(Z163="",AG143&gt;=11,AG143&lt;=19),AC161,IF(AND(AG143&gt;=11,AG143&lt;=19),AC161&amp;" ",""))</f>
      </c>
      <c r="AC162" s="326"/>
      <c r="AD162" s="317"/>
      <c r="AE162" s="317" t="str">
        <f>IF(SUM(AH146:AH157)=0,PROPER(AG162),AG162)</f>
        <v> шестьсот</v>
      </c>
      <c r="AF162" s="317">
        <v>4</v>
      </c>
      <c r="AG162" s="322" t="str">
        <f>AH162&amp;AJ162&amp;AI162</f>
        <v> шестьсот</v>
      </c>
      <c r="AH162" s="317">
        <f>IF(AL162=2,IF(AG145=100,"сто",IF(AG145=200,"двести",IF(AG145=300,"триста",""))),IF(AG145=100," сто",IF(AG145=200," двести",IF(AG145=300," триста",""))))</f>
      </c>
      <c r="AI162" s="317" t="str">
        <f>IF(AL162=2,IF(AG145=400,"четыреста",IF(AG145=500,"пятьсот",IF(AG145=600,"шестьсот",""))),IF(AG145=400," четыреста",IF(AG145=500," пятьсот",IF(AG145=600," шестьсот",""))))</f>
        <v> шестьсот</v>
      </c>
      <c r="AJ162" s="317">
        <f>IF(AL162=2,IF(AG145=700,"семьсот",IF(AG145=800,"восемьсот",IF(AG145=900,"девятьсот",""))),IF(AG145=700," семьсот",IF(AG145=800," восемьсот",IF(AG145=900," девятьсот",""))))</f>
      </c>
      <c r="AK162" s="317"/>
      <c r="AL162" s="317">
        <f>IF(AND(AG174="",AG172="",AG173="",AG171="",AG170="",AG169="",AG168=""),1,0)+IF(AND(AG167="",AG166="",AG165="",AG164="",AG163=""),1,0)</f>
        <v>1</v>
      </c>
      <c r="AM162" s="317"/>
    </row>
    <row r="163" spans="14:39" s="266" customFormat="1" ht="12" customHeight="1" hidden="1">
      <c r="N163" s="370"/>
      <c r="R163" s="317"/>
      <c r="S163" s="317"/>
      <c r="T163" s="317"/>
      <c r="U163" s="324" t="str">
        <f>IF(AH145=""," 00"&amp;U159&amp;U160&amp;U161&amp;U162,U159&amp;U160&amp;U161&amp;U162)</f>
        <v> копеек</v>
      </c>
      <c r="V163" s="317"/>
      <c r="W163" s="317"/>
      <c r="X163" s="317"/>
      <c r="Y163" s="317"/>
      <c r="Z163" s="324" t="str">
        <f>IF(AH142=0,"",Z159&amp;Z160&amp;Z161&amp;Z162)</f>
        <v> копеек</v>
      </c>
      <c r="AA163" s="317"/>
      <c r="AB163" s="324" t="str">
        <f>IF(AG141=0,"",AB159&amp;AB160&amp;AB161&amp;AB162)</f>
        <v> рублей </v>
      </c>
      <c r="AC163" s="324"/>
      <c r="AD163" s="317"/>
      <c r="AE163" s="317" t="str">
        <f>IF(SUM(AH147:AH157)=0,PROPER(AG163),AG163)</f>
        <v>Три</v>
      </c>
      <c r="AF163" s="317">
        <v>5</v>
      </c>
      <c r="AG163" s="322" t="str">
        <f>IF(AND(AH147&lt;20,AH147&gt;10),"",AH163&amp;AJ163&amp;AI163)</f>
        <v>три</v>
      </c>
      <c r="AH163" s="317" t="str">
        <f>IF(AL163=2,IF(AH146=1,"одна",IF(AH146=2,"две",IF(AH146=3,"три",""))),IF(AH146=1," одна",IF(AH146=2," две",IF(AH146=3," три",""))))</f>
        <v>три</v>
      </c>
      <c r="AI163" s="317">
        <f>IF(AL163=2,IF(AH146=4,"четыре",IF(AH146=5,"пять",IF(AH146=6,"шесть",""))),IF(AH146=4," четыре",IF(AH146=5," пять",IF(AH146=6," шесть",""))))</f>
      </c>
      <c r="AJ163" s="317">
        <f>IF(AL163=2,IF(AH146=7,"семь",IF(AH146=8,"восемь",IF(AH146=9,"девять",""))),IF(AH146=7," семь",IF(AH146=8," восемь",IF(AH146=9," девять",""))))</f>
      </c>
      <c r="AK163" s="317" t="str">
        <f>IF(AND(AG163="",AG164="",AG165="",AG166=""),"",IF(AND(AH147&lt;20,AH147&gt;10)," тысяч",IF(AH146=1," тысяча",IF(OR(AH146=2,AH146=3,AH146=4)," тысячи"," тысяч"))))</f>
        <v> тысячи</v>
      </c>
      <c r="AL163" s="317">
        <f>IF(AND(AG174="",AG172="",AG173="",AG171="",AG170="",AG169="",AG168=""),1,0)+IF(AND(AG167="",AG166="",AG165="",AG164=""),1,0)</f>
        <v>2</v>
      </c>
      <c r="AM163" s="317"/>
    </row>
    <row r="164" spans="14:39" s="266" customFormat="1" ht="12" customHeight="1" hidden="1">
      <c r="N164" s="370"/>
      <c r="R164" s="317"/>
      <c r="S164" s="317"/>
      <c r="T164" s="317"/>
      <c r="U164" s="317"/>
      <c r="V164" s="317"/>
      <c r="W164" s="317"/>
      <c r="X164" s="317"/>
      <c r="Y164" s="317"/>
      <c r="Z164" s="317"/>
      <c r="AA164" s="317"/>
      <c r="AB164" s="323"/>
      <c r="AC164" s="324"/>
      <c r="AD164" s="317"/>
      <c r="AE164" s="317">
        <f>IF(SUM(AH149:AH157)=0,PROPER(AG164),AG164)</f>
      </c>
      <c r="AF164" s="317">
        <v>6</v>
      </c>
      <c r="AG164" s="322">
        <f>AH164&amp;AJ164&amp;AI164</f>
      </c>
      <c r="AH164" s="317">
        <f>IF(AL164=2,IF(AH147=11,"одиннадцать",IF(AH147=12,"двенадцать",IF(AH147=13,"тринадцать",""))),IF(AH147=11," одиннадцать",IF(AH147=12," двенадцать",IF(AH147=13," тринадцать",""))))</f>
      </c>
      <c r="AI164" s="317">
        <f>IF(AL164=2,IF(AH147=14,"четырнадцать",IF(AH147=15,"пятнадцать",IF(AH147=16,"шестнадцать",""))),IF(AH147=14," четырнадцать",IF(AH147=15," пятнадцать",IF(AH147=16," шестнадцать",""))))</f>
      </c>
      <c r="AJ164" s="317">
        <f>IF(AL164=2,IF(AH147=17,"семнадцать",IF(AH147=18,"восемнадцать",IF(AH147=19,"девятнадцать",""))),IF(AH147=17," семнадцать",IF(AH147=18," восемнадцать",IF(AH147=19," девятнадцать",""))))</f>
      </c>
      <c r="AK164" s="317"/>
      <c r="AL164" s="317">
        <f>IF(AND(AG174="",AG172="",AG173="",AG171="",AG170="",AG169="",AG168=""),1,0)+IF(AND(AG167="",AG166="",AG165=""),1,0)</f>
        <v>2</v>
      </c>
      <c r="AM164" s="317"/>
    </row>
    <row r="165" spans="14:39" s="266" customFormat="1" ht="12" customHeight="1" hidden="1">
      <c r="N165" s="370"/>
      <c r="R165" s="317"/>
      <c r="S165" s="317"/>
      <c r="T165" s="317"/>
      <c r="U165" s="317"/>
      <c r="V165" s="317"/>
      <c r="W165" s="317"/>
      <c r="X165" s="317"/>
      <c r="Y165" s="317"/>
      <c r="Z165" s="317"/>
      <c r="AA165" s="317"/>
      <c r="AB165" s="317"/>
      <c r="AC165" s="317"/>
      <c r="AD165" s="317"/>
      <c r="AE165" s="317">
        <f>IF(SUM(AH149:AH157)=0,PROPER(AG165),AG165)</f>
      </c>
      <c r="AF165" s="317">
        <v>7</v>
      </c>
      <c r="AG165" s="322">
        <f>IF(AND(AH147&lt;20,AH147&gt;10),"",AH165&amp;AJ165&amp;AI165)</f>
      </c>
      <c r="AH165" s="317">
        <f>IF(AL165=2,IF(AH148=10,"десять",IF(AH148=20,"двадцать",IF(AH148=30,"тридцать",""))),IF(AH148=10," десять",IF(AH148=20," двадцать",IF(AH148=30," тридцать",""))))</f>
      </c>
      <c r="AI165" s="317">
        <f>IF(AL165=2,IF(AH148=40,"сорок",IF(AH148=50,"пятьдесят",IF(AH148=60,"шестьдесят",""))),IF(AH148=40," сорок",IF(AH148=50," пятьдесят",IF(AH148=60," шестьдесят",""))))</f>
      </c>
      <c r="AJ165" s="317">
        <f>IF(AL165=2,IF(AH148=70,"семьдесят",IF(AH148=80,"восемьдесят",IF(AH148=90,"девяносто",""))),IF(AH148=70," семьдесят",IF(AH148=80," восемьдесят",IF(AH148=90," девяносто",""))))</f>
      </c>
      <c r="AK165" s="317"/>
      <c r="AL165" s="317">
        <f>IF(AND(AG174="",AG172="",AG173="",AG171="",AG170="",AG169="",AG168=""),1,0)+IF(AND(AG167="",AG166=""),1,0)</f>
        <v>2</v>
      </c>
      <c r="AM165" s="317"/>
    </row>
    <row r="166" spans="14:39" s="266" customFormat="1" ht="12" customHeight="1" hidden="1">
      <c r="N166" s="370"/>
      <c r="R166" s="317"/>
      <c r="S166" s="317"/>
      <c r="T166" s="317"/>
      <c r="U166" s="317"/>
      <c r="V166" s="317"/>
      <c r="W166" s="317"/>
      <c r="X166" s="317"/>
      <c r="Y166" s="317"/>
      <c r="Z166" s="317"/>
      <c r="AA166" s="317"/>
      <c r="AB166" s="317"/>
      <c r="AC166" s="317"/>
      <c r="AD166" s="317"/>
      <c r="AE166" s="317">
        <f>IF(SUM(AH150:AH157)=0,PROPER(AG166),AG166)</f>
      </c>
      <c r="AF166" s="317">
        <v>8</v>
      </c>
      <c r="AG166" s="322">
        <f>AH166&amp;AJ166&amp;AI166</f>
      </c>
      <c r="AH166" s="317">
        <f>IF(AL166=2,IF(AH149=100,"сто",IF(AH149=200,"двести",IF(AH149=300,"триста",""))),IF(AH149=100," сто",IF(AH149=200," двести",IF(AH149=300," триста",""))))</f>
      </c>
      <c r="AI166" s="317">
        <f>IF(AL166=2,IF(AH149=400,"четыреста",IF(AH149=500,"пятьсот",IF(AH149=600,"шестьсот",""))),IF(AH149=400," четыреста",IF(AH149=500," пятьсот",IF(AH149=600," шестьсот",""))))</f>
      </c>
      <c r="AJ166" s="317">
        <f>IF(AL166=2,IF(AH149=700,"семьсот",IF(AH149=800,"восемьсот",IF(AH149=900,"девятьсот",""))),IF(AH149=700," семьсот",IF(AH149=800," восемьсот",IF(AH149=900," девятьсот",""))))</f>
      </c>
      <c r="AK166" s="317"/>
      <c r="AL166" s="317">
        <f>IF(AND(AG174="",AG172="",AG173="",AG171="",AG170="",AG169="",AG168=""),1,0)+IF(AG167="",1,0)</f>
        <v>2</v>
      </c>
      <c r="AM166" s="317"/>
    </row>
    <row r="167" spans="14:39" s="266" customFormat="1" ht="12" customHeight="1" hidden="1">
      <c r="N167" s="370"/>
      <c r="R167" s="317"/>
      <c r="S167" s="317"/>
      <c r="T167" s="317"/>
      <c r="U167" s="317"/>
      <c r="V167" s="317"/>
      <c r="W167" s="317"/>
      <c r="X167" s="317"/>
      <c r="Y167" s="317"/>
      <c r="Z167" s="317"/>
      <c r="AA167" s="317"/>
      <c r="AB167" s="317"/>
      <c r="AC167" s="317"/>
      <c r="AD167" s="317"/>
      <c r="AE167" s="317">
        <f>IF(SUM(AH151:AH157)=0,PROPER(AG167),AG167)</f>
      </c>
      <c r="AF167" s="317">
        <v>9</v>
      </c>
      <c r="AG167" s="322">
        <f>IF(AND(AH151&lt;20,AH151&gt;10),"",AH167&amp;AJ167&amp;AI167)</f>
      </c>
      <c r="AH167" s="317">
        <f>IF(AL167=1,IF(AH150=1,"один",IF(AH150=2,"два",IF(AH150=3,"три",""))),IF(AH150=1," один",IF(AH150=2," два",IF(AH150=3," три",""))))</f>
      </c>
      <c r="AI167" s="317">
        <f>IF(AL167=1,IF(AH150=4,"четыре",IF(AH150=5,"пять",IF(AH150=6,"шесть",""))),IF(AH150=4," четыре",IF(AH150=5," пять",IF(AH150=6," шесть",""))))</f>
      </c>
      <c r="AJ167" s="317">
        <f>IF(AL167=1,IF(AH150=7,"семь",IF(AH150=8,"восемь",IF(AH150=9,"девять",""))),IF(AH150=7," семь",IF(AH150=8," восемь",IF(AH150=9," девять",""))))</f>
      </c>
      <c r="AK167" s="317">
        <f>IF(AND(AG167="",AG168="",AG169="",AG170=""),"",IF(AND(AH151&lt;20,AH151&gt;10)," миллионов",IF(AH150=1," миллион",IF(OR(AH150=2,AH150=3,AH150=4)," миллиона"," миллионов"))))</f>
      </c>
      <c r="AL167" s="317">
        <f>IF(AND(AG174="",AG172="",AG173="",AG171="",AG170="",AG169="",AG168=""),1,0)</f>
        <v>1</v>
      </c>
      <c r="AM167" s="317"/>
    </row>
    <row r="168" spans="14:39" s="266" customFormat="1" ht="12" customHeight="1" hidden="1">
      <c r="N168" s="370"/>
      <c r="R168" s="317"/>
      <c r="S168" s="317"/>
      <c r="T168" s="317"/>
      <c r="U168" s="317"/>
      <c r="V168" s="317"/>
      <c r="W168" s="317"/>
      <c r="X168" s="317"/>
      <c r="Y168" s="317"/>
      <c r="Z168" s="317"/>
      <c r="AA168" s="317"/>
      <c r="AB168" s="317"/>
      <c r="AC168" s="317"/>
      <c r="AD168" s="317"/>
      <c r="AE168" s="317">
        <f>IF(SUM(AH153:AH157)=0,PROPER(AG168),AG168)</f>
      </c>
      <c r="AF168" s="317">
        <v>10</v>
      </c>
      <c r="AG168" s="322">
        <f>AH168&amp;AJ168&amp;AI168</f>
      </c>
      <c r="AH168" s="317">
        <f>IF(AL168=1,IF(AH151=11,"одиннадцать",IF(AH151=12,"двенадцать",IF(AH151=13,"тринадцать",""))),IF(AH151=11," одиннадцать",IF(AH151=12," двенадцать",IF(AH151=13," тринадцать",""))))</f>
      </c>
      <c r="AI168" s="317">
        <f>IF(AL168=1,IF(AH151=14,"четырнадцать",IF(AH151=15,"пятнадцать",IF(AH151=16,"шестнадцать",""))),IF(AH151=14," четырнадцать",IF(AH151=15," пятнадцать",IF(AH151=16," шестнадцать",""))))</f>
      </c>
      <c r="AJ168" s="317">
        <f>IF(AL168=1,IF(AH151=17,"семнадцать",IF(AH151=18,"восемнадцать",IF(AH151=19,"девятнадцать",""))),IF(AH151=17," семнадцать",IF(AH151=18," восемнадцать",IF(AH151=19," девятнадцать",""))))</f>
      </c>
      <c r="AK168" s="317"/>
      <c r="AL168" s="317">
        <f>IF(AND(AG174="",AG172="",AG173="",AG171="",AG170="",AG169=""),1,0)</f>
        <v>1</v>
      </c>
      <c r="AM168" s="317"/>
    </row>
    <row r="169" spans="14:39" s="266" customFormat="1" ht="12" customHeight="1" hidden="1">
      <c r="N169" s="370"/>
      <c r="R169" s="317"/>
      <c r="S169" s="317"/>
      <c r="T169" s="317"/>
      <c r="U169" s="317"/>
      <c r="V169" s="317"/>
      <c r="W169" s="317"/>
      <c r="X169" s="317"/>
      <c r="Y169" s="317"/>
      <c r="Z169" s="317"/>
      <c r="AA169" s="317"/>
      <c r="AB169" s="317"/>
      <c r="AC169" s="317"/>
      <c r="AD169" s="317"/>
      <c r="AE169" s="317">
        <f>IF(SUM(AH153:AH157)=0,PROPER(AG169),AG169)</f>
      </c>
      <c r="AF169" s="317">
        <v>11</v>
      </c>
      <c r="AG169" s="322">
        <f>IF(AND(AH151&lt;20,AH151&gt;10),"",AH169&amp;AJ169&amp;AI169)</f>
      </c>
      <c r="AH169" s="317">
        <f>IF(AL169=1,IF(AH152=10,"десять",IF(AH152=20,"двадцать",IF(AH152=30,"тридцать",""))),IF(AH152=10," десять",IF(AH152=20," двадцать",IF(AH152=30," тридцать",""))))</f>
      </c>
      <c r="AI169" s="317">
        <f>IF(AL169=1,IF(AH152=40,"сорок",IF(AH152=50,"пятьдесят",IF(AH152=60,"шестьдесят",""))),IF(AH152=40," сорок",IF(AH152=50," пятьдесят",IF(AH152=60," шестьдесят",""))))</f>
      </c>
      <c r="AJ169" s="317">
        <f>IF(AL169=1,IF(AH152=70,"семьдесят",IF(AH152=80,"восемьдесят",IF(AH152=90,"девяносто",""))),IF(AH152=70," семьдесят",IF(AH152=80," восемьдесят",IF(AH152=90," девяносто",""))))</f>
      </c>
      <c r="AK169" s="317"/>
      <c r="AL169" s="317">
        <f>IF(AND(AG174="",AG172="",AG173="",AG171="",AG170=""),1,0)</f>
        <v>1</v>
      </c>
      <c r="AM169" s="317"/>
    </row>
    <row r="170" spans="14:39" s="266" customFormat="1" ht="12" customHeight="1" hidden="1">
      <c r="N170" s="370"/>
      <c r="R170" s="317"/>
      <c r="S170" s="317"/>
      <c r="T170" s="317"/>
      <c r="U170" s="317"/>
      <c r="V170" s="317"/>
      <c r="W170" s="317"/>
      <c r="X170" s="317"/>
      <c r="Y170" s="317"/>
      <c r="Z170" s="317"/>
      <c r="AA170" s="317"/>
      <c r="AB170" s="317"/>
      <c r="AC170" s="317"/>
      <c r="AD170" s="317"/>
      <c r="AE170" s="317">
        <f>IF(SUM(AH154:AH157)=0,PROPER(AG170),AG170)</f>
      </c>
      <c r="AF170" s="317">
        <v>12</v>
      </c>
      <c r="AG170" s="322">
        <f>AH170&amp;AJ170&amp;AI170</f>
      </c>
      <c r="AH170" s="317">
        <f>IF(AL170=1,IF(AH153=100,"сто",IF(AH153=200,"двести",IF(AH153=300,"триста",""))),IF(AH153=100," сто",IF(AH153=200," двести",IF(AH153=300," триста",""))))</f>
      </c>
      <c r="AI170" s="317">
        <f>IF(AL170=1,IF(AH153=400,"четыреста",IF(AH153=500,"пятьсот",IF(AH153=600,"шестьсот",""))),IF(AH153=400," четыреста",IF(AH153=500," пятьсот",IF(AH153=600," шестьсот",""))))</f>
      </c>
      <c r="AJ170" s="317">
        <f>IF(AL170=1,IF(AH153=700,"семьсот",IF(AH153=800,"восемьсот",IF(AH153=900,"девятьсот",""))),IF(AH153=700," семьсот",IF(AH153=800," восемьсот",IF(AH153=900," девятьсот",""))))</f>
      </c>
      <c r="AK170" s="317"/>
      <c r="AL170" s="317">
        <f>IF(AND(AG174="",AG172="",AG173="",AG171=""),1,0)</f>
        <v>1</v>
      </c>
      <c r="AM170" s="317"/>
    </row>
    <row r="171" spans="14:39" s="266" customFormat="1" ht="12" customHeight="1" hidden="1">
      <c r="N171" s="370"/>
      <c r="R171" s="317"/>
      <c r="S171" s="317"/>
      <c r="T171" s="317"/>
      <c r="U171" s="317"/>
      <c r="V171" s="317"/>
      <c r="W171" s="317"/>
      <c r="X171" s="317"/>
      <c r="Y171" s="317"/>
      <c r="Z171" s="317"/>
      <c r="AA171" s="317"/>
      <c r="AB171" s="317"/>
      <c r="AC171" s="317"/>
      <c r="AD171" s="317"/>
      <c r="AE171" s="317">
        <f>IF(SUM(AH155:AH157)=0,PROPER(AG171),AG171)</f>
      </c>
      <c r="AF171" s="317">
        <v>13</v>
      </c>
      <c r="AG171" s="322">
        <f>IF(AND(AH155&lt;20,AH155&gt;10),"",AH171&amp;AJ171&amp;AI171)</f>
      </c>
      <c r="AH171" s="317">
        <f>IF(AL171=1,IF(AH154=1,"один",IF(AH154=2,"два",IF(AH154=3,"три",""))),IF(AH154=1," один",IF(AH154=2," два",IF(AH154=3," три",""))))</f>
      </c>
      <c r="AI171" s="317">
        <f>IF(AL171=1,IF(AH154=4,"четыре",IF(AH154=5,"пять",IF(AH154=6,"шесть",""))),IF(AH154=4," четыре",IF(AH154=5," пять",IF(AH154=6," шесть",""))))</f>
      </c>
      <c r="AJ171" s="317">
        <f>IF(AL171=1,IF(AH154=7,"семь",IF(AH154=8,"восемь",IF(AH154=9,"девять",""))),IF(AH154=7," семь",IF(AH154=8," восемь",IF(AH154=9," девять",""))))</f>
      </c>
      <c r="AK171" s="317">
        <f>IF(AND(AG171="",AG172="",AG173="",AG174=""),"",IF(AND(AH155&lt;20,AH155&gt;10)," миллиардов",IF(AH154=1," миллиард",IF(OR(AH154=2,AH154=3,AH154=4)," миллиарда"," миллиардов"))))</f>
      </c>
      <c r="AL171" s="317">
        <f>IF(AND(AG174="",AG172="",AG173=""),1,0)</f>
        <v>1</v>
      </c>
      <c r="AM171" s="317"/>
    </row>
    <row r="172" spans="14:39" s="266" customFormat="1" ht="12" customHeight="1" hidden="1">
      <c r="N172" s="370"/>
      <c r="R172" s="317"/>
      <c r="S172" s="317"/>
      <c r="T172" s="317"/>
      <c r="U172" s="317"/>
      <c r="V172" s="317"/>
      <c r="W172" s="317"/>
      <c r="X172" s="317"/>
      <c r="Y172" s="317"/>
      <c r="Z172" s="317"/>
      <c r="AA172" s="317"/>
      <c r="AB172" s="317"/>
      <c r="AC172" s="317"/>
      <c r="AD172" s="317"/>
      <c r="AE172" s="317">
        <f>IF(AH157=0,PROPER(AG172),AG172)</f>
      </c>
      <c r="AF172" s="317">
        <v>14</v>
      </c>
      <c r="AG172" s="322">
        <f>AH172&amp;AJ172&amp;AI172</f>
      </c>
      <c r="AH172" s="317">
        <f>IF(AL172=1,IF(AH155=11,"одиннадцать",IF(AH155=12,"двенадцать",IF(AH155=13,"тринадцать",""))),IF(AH155=11," одиннадцать",IF(AH155=12," двенадцать",IF(AH155=13," тринадцать",""))))</f>
      </c>
      <c r="AI172" s="317">
        <f>IF(AL172=1,IF(AH155=14,"четырнадцать",IF(AH155=15,"пятнадцать",IF(AH155=16,"шестнадцать",""))),IF(AH155=14," четырнадцать",IF(AH155=15," пятнадцать",IF(AH155=16," шестнадцать",""))))</f>
      </c>
      <c r="AJ172" s="317">
        <f>IF(AL172=1,IF(AH155=17,"семнадцать",IF(AH155=18,"восемнадцать",IF(AH155=19,"девятнадцать",""))),IF(AH155=17," семнадцать",IF(AH155=18," восемнадцать",IF(AH155=19," девятнадцать",""))))</f>
      </c>
      <c r="AK172" s="317"/>
      <c r="AL172" s="317">
        <f>IF(AND(AG173="",AG174=""),1,0)</f>
        <v>1</v>
      </c>
      <c r="AM172" s="317"/>
    </row>
    <row r="173" spans="14:39" s="266" customFormat="1" ht="12" customHeight="1" hidden="1">
      <c r="N173" s="370"/>
      <c r="R173" s="317"/>
      <c r="S173" s="317"/>
      <c r="T173" s="317"/>
      <c r="U173" s="317"/>
      <c r="V173" s="317"/>
      <c r="W173" s="317"/>
      <c r="X173" s="317"/>
      <c r="Y173" s="317"/>
      <c r="Z173" s="317"/>
      <c r="AA173" s="317"/>
      <c r="AB173" s="317"/>
      <c r="AC173" s="317"/>
      <c r="AD173" s="317"/>
      <c r="AE173" s="317">
        <f>IF(SUM(AH157)=0,PROPER(AG173),AG173)</f>
      </c>
      <c r="AF173" s="317">
        <v>15</v>
      </c>
      <c r="AG173" s="322">
        <f>IF(AND(AH155&lt;20,AH155&gt;10),"",AH173&amp;AJ173&amp;AI173)</f>
      </c>
      <c r="AH173" s="317">
        <f>IF(AL173=1,IF(AH156=10,"десять",IF(AH156=20,"двадцать",IF(AH156=30,"тридцать",""))),IF(AH156=10," десять",IF(AH156=20," двадцать",IF(AH156=30," тридцать",""))))</f>
      </c>
      <c r="AI173" s="317">
        <f>IF(AL173=1,IF(AH156=40,"сорок",IF(AH156=50,"пятьдесят",IF(AH156=60,"шестьдесят",""))),IF(AH156=40," сорок",IF(AH156=50," пятьдесят",IF(AH156=60," шестьдесят",""))))</f>
      </c>
      <c r="AJ173" s="317">
        <f>IF(AL173=1,IF(AH156=70,"семьдесят",IF(AH156=80,"восемьдесят",IF(AH156=90,"девяносто",""))),IF(AH156=70," семьдесят",IF(AH156=80," восемьдесят",IF(AH156=90," девяносто",""))))</f>
      </c>
      <c r="AK173" s="317"/>
      <c r="AL173" s="317">
        <f>IF(AG174="",1,0)</f>
        <v>1</v>
      </c>
      <c r="AM173" s="317"/>
    </row>
    <row r="174" spans="14:39" s="266" customFormat="1" ht="12" customHeight="1" hidden="1">
      <c r="N174" s="370"/>
      <c r="R174" s="317"/>
      <c r="S174" s="317"/>
      <c r="T174" s="317"/>
      <c r="U174" s="317"/>
      <c r="V174" s="317"/>
      <c r="W174" s="317"/>
      <c r="X174" s="317"/>
      <c r="Y174" s="317"/>
      <c r="Z174" s="317"/>
      <c r="AA174" s="317"/>
      <c r="AB174" s="317"/>
      <c r="AC174" s="317"/>
      <c r="AD174" s="317"/>
      <c r="AE174" s="317">
        <f>PROPER(AG174)</f>
      </c>
      <c r="AF174" s="317">
        <v>16</v>
      </c>
      <c r="AG174" s="322">
        <f>AH174&amp;AI174</f>
      </c>
      <c r="AH174" s="317">
        <f>IF(AH157=100,"сто",IF(AH157=200,"двести",IF(AH157=300,"триста",IF(AH157=400,"четыреста",IF(AH157=500,"пятьсот",IF(AH157=600,"шестьсот",""))))))</f>
      </c>
      <c r="AI174" s="317">
        <f>IF(AH157=700,"семьсот",IF(AH157=800,"восемьсот",IF(AH157=900,"девятьсот","")))</f>
      </c>
      <c r="AJ174" s="317"/>
      <c r="AK174" s="317"/>
      <c r="AL174" s="317"/>
      <c r="AM174" s="317"/>
    </row>
    <row r="175" spans="14:39" s="266" customFormat="1" ht="12" customHeight="1" hidden="1">
      <c r="N175" s="370"/>
      <c r="R175" s="317"/>
      <c r="S175" s="317"/>
      <c r="T175" s="317"/>
      <c r="U175" s="317"/>
      <c r="V175" s="317"/>
      <c r="W175" s="317"/>
      <c r="X175" s="317"/>
      <c r="Y175" s="317"/>
      <c r="Z175" s="317"/>
      <c r="AA175" s="317"/>
      <c r="AB175" s="317"/>
      <c r="AC175" s="317"/>
      <c r="AD175" s="317"/>
      <c r="AE175" s="317"/>
      <c r="AF175" s="317"/>
      <c r="AG175" s="317"/>
      <c r="AH175" s="317"/>
      <c r="AI175" s="317"/>
      <c r="AJ175" s="317"/>
      <c r="AK175" s="317"/>
      <c r="AL175" s="317"/>
      <c r="AM175" s="317"/>
    </row>
  </sheetData>
  <sheetProtection/>
  <mergeCells count="137">
    <mergeCell ref="C84:J84"/>
    <mergeCell ref="C85:K85"/>
    <mergeCell ref="E86:I86"/>
    <mergeCell ref="E87:H87"/>
    <mergeCell ref="C98:K98"/>
    <mergeCell ref="E88:H88"/>
    <mergeCell ref="C89:C92"/>
    <mergeCell ref="E89:H89"/>
    <mergeCell ref="E90:H90"/>
    <mergeCell ref="E91:I91"/>
    <mergeCell ref="E92:H92"/>
    <mergeCell ref="E80:H80"/>
    <mergeCell ref="E81:H81"/>
    <mergeCell ref="C104:M104"/>
    <mergeCell ref="C100:I100"/>
    <mergeCell ref="E93:H93"/>
    <mergeCell ref="E94:H94"/>
    <mergeCell ref="C95:K95"/>
    <mergeCell ref="C96:J96"/>
    <mergeCell ref="C99:J99"/>
    <mergeCell ref="C97:J97"/>
    <mergeCell ref="E73:I73"/>
    <mergeCell ref="E74:H74"/>
    <mergeCell ref="C82:K82"/>
    <mergeCell ref="C83:J83"/>
    <mergeCell ref="E75:H75"/>
    <mergeCell ref="C76:C79"/>
    <mergeCell ref="E76:H76"/>
    <mergeCell ref="E77:H77"/>
    <mergeCell ref="E78:I78"/>
    <mergeCell ref="E79:H79"/>
    <mergeCell ref="E67:H67"/>
    <mergeCell ref="E68:H68"/>
    <mergeCell ref="C69:K69"/>
    <mergeCell ref="C70:J70"/>
    <mergeCell ref="C71:J71"/>
    <mergeCell ref="C72:K72"/>
    <mergeCell ref="E60:I60"/>
    <mergeCell ref="E61:H61"/>
    <mergeCell ref="C63:C66"/>
    <mergeCell ref="E63:H63"/>
    <mergeCell ref="E64:H64"/>
    <mergeCell ref="E65:I65"/>
    <mergeCell ref="E66:H66"/>
    <mergeCell ref="E54:H54"/>
    <mergeCell ref="E55:H55"/>
    <mergeCell ref="C56:K56"/>
    <mergeCell ref="C57:J57"/>
    <mergeCell ref="C58:J58"/>
    <mergeCell ref="C59:K59"/>
    <mergeCell ref="C46:K46"/>
    <mergeCell ref="E47:I47"/>
    <mergeCell ref="E48:H48"/>
    <mergeCell ref="E49:H49"/>
    <mergeCell ref="C50:C53"/>
    <mergeCell ref="E50:H50"/>
    <mergeCell ref="E51:H51"/>
    <mergeCell ref="E52:I52"/>
    <mergeCell ref="E53:H53"/>
    <mergeCell ref="F113:H113"/>
    <mergeCell ref="L19:L20"/>
    <mergeCell ref="E21:I21"/>
    <mergeCell ref="E22:H22"/>
    <mergeCell ref="C33:K33"/>
    <mergeCell ref="E29:H29"/>
    <mergeCell ref="C32:J32"/>
    <mergeCell ref="E25:H25"/>
    <mergeCell ref="C24:C27"/>
    <mergeCell ref="C31:J31"/>
    <mergeCell ref="AB115:AB117"/>
    <mergeCell ref="R116:R118"/>
    <mergeCell ref="S116:T118"/>
    <mergeCell ref="U116:U118"/>
    <mergeCell ref="V116:V118"/>
    <mergeCell ref="K19:K20"/>
    <mergeCell ref="C116:L116"/>
    <mergeCell ref="G117:I117"/>
    <mergeCell ref="F111:H111"/>
    <mergeCell ref="F112:H112"/>
    <mergeCell ref="F106:H106"/>
    <mergeCell ref="F107:H107"/>
    <mergeCell ref="F108:H108"/>
    <mergeCell ref="P116:Q118"/>
    <mergeCell ref="P115:V115"/>
    <mergeCell ref="V114:AB114"/>
    <mergeCell ref="C115:L115"/>
    <mergeCell ref="X115:X117"/>
    <mergeCell ref="Y115:Z117"/>
    <mergeCell ref="AA115:AA117"/>
    <mergeCell ref="F109:H109"/>
    <mergeCell ref="F110:H110"/>
    <mergeCell ref="C121:F121"/>
    <mergeCell ref="H121:I121"/>
    <mergeCell ref="C113:D113"/>
    <mergeCell ref="C114:K114"/>
    <mergeCell ref="C120:F120"/>
    <mergeCell ref="K120:L120"/>
    <mergeCell ref="H120:I120"/>
    <mergeCell ref="G118:I118"/>
    <mergeCell ref="E37:H37"/>
    <mergeCell ref="E38:H38"/>
    <mergeCell ref="E39:I39"/>
    <mergeCell ref="E40:H40"/>
    <mergeCell ref="E41:H41"/>
    <mergeCell ref="K121:L121"/>
    <mergeCell ref="E42:H42"/>
    <mergeCell ref="C43:K43"/>
    <mergeCell ref="C44:J44"/>
    <mergeCell ref="E62:H62"/>
    <mergeCell ref="E23:H23"/>
    <mergeCell ref="E24:H24"/>
    <mergeCell ref="E19:I19"/>
    <mergeCell ref="J19:J20"/>
    <mergeCell ref="E35:H35"/>
    <mergeCell ref="E36:H36"/>
    <mergeCell ref="C30:K30"/>
    <mergeCell ref="E26:I26"/>
    <mergeCell ref="C3:M3"/>
    <mergeCell ref="E6:J6"/>
    <mergeCell ref="B1:AL2"/>
    <mergeCell ref="C4:M4"/>
    <mergeCell ref="E34:I34"/>
    <mergeCell ref="E8:J8"/>
    <mergeCell ref="C12:M12"/>
    <mergeCell ref="C14:M14"/>
    <mergeCell ref="C19:D20"/>
    <mergeCell ref="M19:M20"/>
    <mergeCell ref="E20:H20"/>
    <mergeCell ref="C37:C40"/>
    <mergeCell ref="C45:J45"/>
    <mergeCell ref="C8:D8"/>
    <mergeCell ref="C9:D9"/>
    <mergeCell ref="F10:G10"/>
    <mergeCell ref="C11:D11"/>
    <mergeCell ref="F9:G9"/>
    <mergeCell ref="E27:H27"/>
    <mergeCell ref="E28:H28"/>
  </mergeCells>
  <conditionalFormatting sqref="K10">
    <cfRule type="cellIs" priority="1" dxfId="4" operator="equal" stopIfTrue="1">
      <formula>0</formula>
    </cfRule>
  </conditionalFormatting>
  <conditionalFormatting sqref="I10:J10">
    <cfRule type="cellIs" priority="2" dxfId="2" operator="notEqual" stopIfTrue="1">
      <formula>"Начало нетрудоспособности"</formula>
    </cfRule>
  </conditionalFormatting>
  <dataValidations count="4">
    <dataValidation type="custom" allowBlank="1" showInputMessage="1" showErrorMessage="1" sqref="AA118 U119:U124">
      <formula1>AB118</formula1>
    </dataValidation>
    <dataValidation type="list" allowBlank="1" showInputMessage="1" showErrorMessage="1" sqref="D128">
      <formula1>год</formula1>
    </dataValidation>
    <dataValidation type="list" allowBlank="1" showInputMessage="1" showErrorMessage="1" sqref="G117:I117">
      <formula1>$C$127:$C$138</formula1>
    </dataValidation>
    <dataValidation type="list" allowBlank="1" showInputMessage="1" showErrorMessage="1" sqref="AE116">
      <formula1>$AP$20:$AP$21</formula1>
    </dataValidation>
  </dataValidations>
  <printOptions/>
  <pageMargins left="0.7874015748031497"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rowBreaks count="2" manualBreakCount="2">
    <brk id="59" min="2" max="12" man="1"/>
    <brk id="103" min="2" max="12" man="1"/>
  </rowBreaks>
  <legacyDrawing r:id="rId2"/>
</worksheet>
</file>

<file path=xl/worksheets/sheet5.xml><?xml version="1.0" encoding="utf-8"?>
<worksheet xmlns="http://schemas.openxmlformats.org/spreadsheetml/2006/main" xmlns:r="http://schemas.openxmlformats.org/officeDocument/2006/relationships">
  <sheetPr>
    <tabColor indexed="11"/>
  </sheetPr>
  <dimension ref="B1:W48"/>
  <sheetViews>
    <sheetView zoomScalePageLayoutView="0" workbookViewId="0" topLeftCell="A1">
      <pane ySplit="2" topLeftCell="A3" activePane="bottomLeft" state="frozen"/>
      <selection pane="topLeft" activeCell="A1" sqref="A1"/>
      <selection pane="bottomLeft" activeCell="A1" sqref="A1"/>
    </sheetView>
  </sheetViews>
  <sheetFormatPr defaultColWidth="8.875" defaultRowHeight="12.75"/>
  <cols>
    <col min="1" max="2" width="2.75390625" style="48" customWidth="1"/>
    <col min="3" max="3" width="10.375" style="48" customWidth="1"/>
    <col min="4" max="4" width="5.25390625" style="48" customWidth="1"/>
    <col min="5" max="5" width="12.00390625" style="48" customWidth="1"/>
    <col min="6" max="6" width="10.75390625" style="48" customWidth="1"/>
    <col min="7" max="7" width="11.00390625" style="48" customWidth="1"/>
    <col min="8" max="8" width="12.375" style="48" customWidth="1"/>
    <col min="9" max="9" width="13.25390625" style="48" customWidth="1"/>
    <col min="10" max="10" width="14.125" style="48" customWidth="1"/>
    <col min="11" max="101" width="2.75390625" style="48" customWidth="1"/>
    <col min="102" max="16384" width="8.875" style="48" customWidth="1"/>
  </cols>
  <sheetData>
    <row r="1" spans="2:23" ht="10.5" customHeight="1">
      <c r="B1" s="433" t="s">
        <v>286</v>
      </c>
      <c r="C1" s="433"/>
      <c r="D1" s="433"/>
      <c r="E1" s="433"/>
      <c r="F1" s="433"/>
      <c r="G1" s="433"/>
      <c r="H1" s="433"/>
      <c r="I1" s="433"/>
      <c r="J1" s="433"/>
      <c r="K1" s="433"/>
      <c r="L1" s="433"/>
      <c r="M1" s="433"/>
      <c r="N1" s="433"/>
      <c r="O1" s="433"/>
      <c r="P1" s="433"/>
      <c r="Q1" s="433"/>
      <c r="R1" s="433"/>
      <c r="S1" s="433"/>
      <c r="T1" s="433"/>
      <c r="U1" s="433"/>
      <c r="V1" s="433"/>
      <c r="W1" s="433"/>
    </row>
    <row r="2" spans="2:23" ht="11.25" customHeight="1" thickBot="1">
      <c r="B2" s="433"/>
      <c r="C2" s="433"/>
      <c r="D2" s="433"/>
      <c r="E2" s="433"/>
      <c r="F2" s="433"/>
      <c r="G2" s="433"/>
      <c r="H2" s="433"/>
      <c r="I2" s="433"/>
      <c r="J2" s="433"/>
      <c r="K2" s="433"/>
      <c r="L2" s="433"/>
      <c r="M2" s="433"/>
      <c r="N2" s="433"/>
      <c r="O2" s="433"/>
      <c r="P2" s="433"/>
      <c r="Q2" s="433"/>
      <c r="R2" s="433"/>
      <c r="S2" s="433"/>
      <c r="T2" s="433"/>
      <c r="U2" s="433"/>
      <c r="V2" s="433"/>
      <c r="W2" s="433"/>
    </row>
    <row r="3" spans="2:12" ht="10.5">
      <c r="B3" s="110"/>
      <c r="C3" s="111"/>
      <c r="D3" s="112"/>
      <c r="E3" s="112"/>
      <c r="F3" s="112"/>
      <c r="G3" s="112"/>
      <c r="H3" s="112"/>
      <c r="I3" s="112"/>
      <c r="J3" s="112"/>
      <c r="K3" s="112"/>
      <c r="L3" s="113"/>
    </row>
    <row r="4" spans="2:12" ht="10.5">
      <c r="B4" s="53"/>
      <c r="C4" s="480" t="s">
        <v>194</v>
      </c>
      <c r="D4" s="480"/>
      <c r="E4" s="480"/>
      <c r="F4" s="480"/>
      <c r="G4" s="480"/>
      <c r="H4" s="480"/>
      <c r="I4" s="480"/>
      <c r="J4" s="480"/>
      <c r="K4" s="480"/>
      <c r="L4" s="114"/>
    </row>
    <row r="5" spans="2:12" ht="12" customHeight="1">
      <c r="B5" s="53"/>
      <c r="C5" s="34"/>
      <c r="D5" s="34"/>
      <c r="E5" s="34"/>
      <c r="F5" s="34"/>
      <c r="G5" s="34"/>
      <c r="H5" s="34"/>
      <c r="I5" s="34"/>
      <c r="J5" s="34"/>
      <c r="K5" s="34"/>
      <c r="L5" s="114"/>
    </row>
    <row r="6" spans="2:12" ht="12" customHeight="1">
      <c r="B6" s="53"/>
      <c r="C6" s="34" t="s">
        <v>117</v>
      </c>
      <c r="D6" s="481" t="str">
        <f>'Исходные данные'!$M$6</f>
        <v>Короленко Елена Владимировна</v>
      </c>
      <c r="E6" s="481"/>
      <c r="F6" s="481"/>
      <c r="G6" s="481"/>
      <c r="H6" s="481"/>
      <c r="I6" s="481"/>
      <c r="J6" s="34"/>
      <c r="K6" s="34"/>
      <c r="L6" s="114"/>
    </row>
    <row r="7" spans="2:12" ht="12" customHeight="1">
      <c r="B7" s="53"/>
      <c r="C7" s="34" t="s">
        <v>116</v>
      </c>
      <c r="D7" s="120"/>
      <c r="E7" s="122">
        <f>'Исходные данные'!$O$8</f>
        <v>48</v>
      </c>
      <c r="F7" s="120"/>
      <c r="G7" s="121"/>
      <c r="H7" s="121"/>
      <c r="I7" s="121"/>
      <c r="J7" s="34"/>
      <c r="K7" s="34"/>
      <c r="L7" s="114"/>
    </row>
    <row r="8" spans="2:12" ht="12" customHeight="1">
      <c r="B8" s="53"/>
      <c r="C8" s="484" t="s">
        <v>118</v>
      </c>
      <c r="D8" s="484"/>
      <c r="E8" s="484"/>
      <c r="F8" s="481" t="str">
        <f>'Исходные данные'!$Q$14</f>
        <v>Беременность и роды</v>
      </c>
      <c r="G8" s="481"/>
      <c r="H8" s="481"/>
      <c r="I8" s="481"/>
      <c r="J8" s="481"/>
      <c r="K8" s="481"/>
      <c r="L8" s="114"/>
    </row>
    <row r="9" spans="2:12" ht="12" customHeight="1">
      <c r="B9" s="53"/>
      <c r="C9" s="484" t="s">
        <v>165</v>
      </c>
      <c r="D9" s="484"/>
      <c r="E9" s="484"/>
      <c r="F9" s="123" t="s">
        <v>166</v>
      </c>
      <c r="G9" s="122" t="str">
        <f>'Пособие по временной нетрудосп.'!$F$9</f>
        <v>АБ</v>
      </c>
      <c r="H9" s="34" t="s">
        <v>167</v>
      </c>
      <c r="I9" s="122" t="str">
        <f>'Пособие по временной нетрудосп.'!$I$9</f>
        <v>0245698</v>
      </c>
      <c r="J9" s="34"/>
      <c r="K9" s="34"/>
      <c r="L9" s="114"/>
    </row>
    <row r="10" spans="2:12" ht="12" customHeight="1">
      <c r="B10" s="53"/>
      <c r="C10" s="485" t="s">
        <v>268</v>
      </c>
      <c r="D10" s="484"/>
      <c r="E10" s="484"/>
      <c r="F10" s="125">
        <f>'Пособие по временной нетрудосп.'!$E$10</f>
        <v>44109</v>
      </c>
      <c r="G10" s="119" t="s">
        <v>184</v>
      </c>
      <c r="H10" s="126">
        <f>'Пособие по временной нетрудосп.'!$H$10</f>
        <v>44234</v>
      </c>
      <c r="I10" s="127"/>
      <c r="J10" s="127"/>
      <c r="K10" s="128"/>
      <c r="L10" s="114"/>
    </row>
    <row r="11" spans="2:12" ht="12" customHeight="1">
      <c r="B11" s="53"/>
      <c r="C11" s="483" t="str">
        <f>'Пособие по временной нетрудосп.'!$C$12</f>
        <v>Расчетный период отработан  полностью</v>
      </c>
      <c r="D11" s="483"/>
      <c r="E11" s="483"/>
      <c r="F11" s="483"/>
      <c r="G11" s="483"/>
      <c r="H11" s="483"/>
      <c r="I11" s="483"/>
      <c r="J11" s="483"/>
      <c r="K11" s="483"/>
      <c r="L11" s="114"/>
    </row>
    <row r="12" spans="2:12" ht="12" customHeight="1">
      <c r="B12" s="53"/>
      <c r="C12" s="482" t="str">
        <f>'Пособие по временной нетрудосп.'!$C$14</f>
        <v>Расчет производится исходя из среднедневного заработка</v>
      </c>
      <c r="D12" s="482"/>
      <c r="E12" s="482"/>
      <c r="F12" s="482"/>
      <c r="G12" s="482"/>
      <c r="H12" s="482"/>
      <c r="I12" s="482"/>
      <c r="J12" s="482"/>
      <c r="K12" s="482"/>
      <c r="L12" s="114"/>
    </row>
    <row r="13" spans="2:12" ht="7.5" customHeight="1">
      <c r="B13" s="53"/>
      <c r="C13" s="129"/>
      <c r="D13" s="129"/>
      <c r="E13" s="129"/>
      <c r="F13" s="129"/>
      <c r="G13" s="129"/>
      <c r="H13" s="129"/>
      <c r="I13" s="129"/>
      <c r="J13" s="129"/>
      <c r="K13" s="129"/>
      <c r="L13" s="114"/>
    </row>
    <row r="14" spans="2:12" ht="13.5" customHeight="1">
      <c r="B14" s="53"/>
      <c r="C14" s="489" t="s">
        <v>270</v>
      </c>
      <c r="D14" s="489"/>
      <c r="E14" s="489"/>
      <c r="F14" s="489"/>
      <c r="G14" s="489"/>
      <c r="H14" s="489"/>
      <c r="I14" s="489"/>
      <c r="J14" s="489"/>
      <c r="K14" s="489"/>
      <c r="L14" s="114"/>
    </row>
    <row r="15" spans="2:12" ht="13.5" customHeight="1">
      <c r="B15" s="53"/>
      <c r="C15" s="40"/>
      <c r="D15" s="40"/>
      <c r="E15" s="40"/>
      <c r="F15" s="107"/>
      <c r="G15" s="107"/>
      <c r="H15" s="34"/>
      <c r="I15" s="34"/>
      <c r="J15" s="34"/>
      <c r="K15" s="34"/>
      <c r="L15" s="114"/>
    </row>
    <row r="16" spans="2:12" ht="42">
      <c r="B16" s="53"/>
      <c r="C16" s="440" t="s">
        <v>187</v>
      </c>
      <c r="D16" s="486"/>
      <c r="E16" s="130" t="s">
        <v>271</v>
      </c>
      <c r="F16" s="487" t="s">
        <v>272</v>
      </c>
      <c r="G16" s="488"/>
      <c r="H16" s="130" t="s">
        <v>212</v>
      </c>
      <c r="I16" s="34"/>
      <c r="J16" s="34"/>
      <c r="K16" s="34"/>
      <c r="L16" s="114"/>
    </row>
    <row r="17" spans="2:16" ht="12" customHeight="1">
      <c r="B17" s="53"/>
      <c r="C17" s="132" t="str">
        <f>IF('Пособие по временной нетрудосп.'!$C$21="","",'Пособие по временной нетрудосп.'!$C$21)</f>
        <v>Апрель</v>
      </c>
      <c r="D17" s="133">
        <f>IF('Пособие по временной нетрудосп.'!$D$21="","",'Пособие по временной нетрудосп.'!$D$21)</f>
        <v>2020</v>
      </c>
      <c r="E17" s="134">
        <f>'Пособие по временной нетрудосп.'!$K$32</f>
        <v>15</v>
      </c>
      <c r="F17" s="490">
        <f>'Пособие по временной нетрудосп.'!$L$33</f>
        <v>830</v>
      </c>
      <c r="G17" s="491"/>
      <c r="H17" s="492">
        <f>'Пособие по временной нетрудосп.'!$J$100</f>
        <v>29.33</v>
      </c>
      <c r="I17" s="34"/>
      <c r="J17" s="34"/>
      <c r="K17" s="34"/>
      <c r="L17" s="114"/>
      <c r="P17" s="106"/>
    </row>
    <row r="18" spans="2:16" ht="12" customHeight="1">
      <c r="B18" s="53"/>
      <c r="C18" s="135" t="str">
        <f>IF('Пособие по временной нетрудосп.'!$C$34="","",'Пособие по временной нетрудосп.'!$C$34)</f>
        <v>Май</v>
      </c>
      <c r="D18" s="136">
        <f>IF('Пособие по временной нетрудосп.'!$D$34="","",'Пособие по временной нетрудосп.'!$D$34)</f>
        <v>2020</v>
      </c>
      <c r="E18" s="137">
        <f>'Пособие по временной нетрудосп.'!$K$45</f>
        <v>31</v>
      </c>
      <c r="F18" s="494">
        <f>'Пособие по временной нетрудосп.'!$L$46</f>
        <v>770</v>
      </c>
      <c r="G18" s="495"/>
      <c r="H18" s="493"/>
      <c r="I18" s="34"/>
      <c r="J18" s="34"/>
      <c r="K18" s="34"/>
      <c r="L18" s="114"/>
      <c r="P18" s="106"/>
    </row>
    <row r="19" spans="2:16" ht="12" customHeight="1">
      <c r="B19" s="53"/>
      <c r="C19" s="135" t="str">
        <f>IF('Пособие по временной нетрудосп.'!$C$47="","",'Пособие по временной нетрудосп.'!$C$47)</f>
        <v>Июнь</v>
      </c>
      <c r="D19" s="136">
        <f>IF('Пособие по временной нетрудосп.'!$D$47="","",'Пособие по временной нетрудосп.'!$D$47)</f>
        <v>2020</v>
      </c>
      <c r="E19" s="137">
        <f>'Пособие по временной нетрудосп.'!$K$58</f>
        <v>30</v>
      </c>
      <c r="F19" s="494">
        <f>'Пособие по временной нетрудосп.'!$L$59</f>
        <v>810</v>
      </c>
      <c r="G19" s="495"/>
      <c r="H19" s="493"/>
      <c r="I19" s="34"/>
      <c r="J19" s="34"/>
      <c r="K19" s="34"/>
      <c r="L19" s="114"/>
      <c r="P19" s="106"/>
    </row>
    <row r="20" spans="2:16" ht="12" customHeight="1">
      <c r="B20" s="53"/>
      <c r="C20" s="135" t="str">
        <f>IF('Пособие по временной нетрудосп.'!$C$60="","",'Пособие по временной нетрудосп.'!$C$60)</f>
        <v>Июль</v>
      </c>
      <c r="D20" s="136">
        <f>IF('Пособие по временной нетрудосп.'!$D$60="","",'Пособие по временной нетрудосп.'!$D$60)</f>
        <v>2020</v>
      </c>
      <c r="E20" s="137">
        <f>'Пособие по временной нетрудосп.'!$K$71</f>
        <v>31</v>
      </c>
      <c r="F20" s="494">
        <f>'Пособие по временной нетрудосп.'!$L$72</f>
        <v>810</v>
      </c>
      <c r="G20" s="495"/>
      <c r="H20" s="493"/>
      <c r="I20" s="34"/>
      <c r="J20" s="34"/>
      <c r="K20" s="34"/>
      <c r="L20" s="114"/>
      <c r="P20" s="106"/>
    </row>
    <row r="21" spans="2:16" ht="12" customHeight="1">
      <c r="B21" s="53"/>
      <c r="C21" s="135" t="str">
        <f>IF('Пособие по временной нетрудосп.'!$C$73="","",'Пособие по временной нетрудосп.'!$C$73)</f>
        <v>Август</v>
      </c>
      <c r="D21" s="136">
        <f>IF('Пособие по временной нетрудосп.'!$D$73="","",'Пособие по временной нетрудосп.'!$D$73)</f>
        <v>2020</v>
      </c>
      <c r="E21" s="137">
        <f>'Пособие по временной нетрудосп.'!$K$84</f>
        <v>31</v>
      </c>
      <c r="F21" s="494">
        <f>'Пособие по временной нетрудосп.'!$L$85</f>
        <v>810</v>
      </c>
      <c r="G21" s="495"/>
      <c r="H21" s="493"/>
      <c r="I21" s="34"/>
      <c r="J21" s="34"/>
      <c r="K21" s="34"/>
      <c r="L21" s="114"/>
      <c r="P21" s="106"/>
    </row>
    <row r="22" spans="2:16" ht="12" customHeight="1">
      <c r="B22" s="53"/>
      <c r="C22" s="138" t="str">
        <f>IF('Пособие по временной нетрудосп.'!$C$86="","",'Пособие по временной нетрудосп.'!$C$86)</f>
        <v>Сентябрь</v>
      </c>
      <c r="D22" s="139">
        <f>IF('Пособие по временной нетрудосп.'!$D$86="","",'Пособие по временной нетрудосп.'!$D$86)</f>
        <v>2020</v>
      </c>
      <c r="E22" s="140">
        <f>'Пособие по временной нетрудосп.'!$K$97</f>
        <v>27</v>
      </c>
      <c r="F22" s="496">
        <f>'Пособие по временной нетрудосп.'!$L$98</f>
        <v>810</v>
      </c>
      <c r="G22" s="497"/>
      <c r="H22" s="493"/>
      <c r="I22" s="34"/>
      <c r="J22" s="34"/>
      <c r="K22" s="34"/>
      <c r="L22" s="114"/>
      <c r="P22" s="106"/>
    </row>
    <row r="23" spans="2:16" ht="12" customHeight="1">
      <c r="B23" s="53"/>
      <c r="C23" s="505" t="s">
        <v>171</v>
      </c>
      <c r="D23" s="506"/>
      <c r="E23" s="131">
        <f>SUM(E17:E22)</f>
        <v>165</v>
      </c>
      <c r="F23" s="507">
        <f>SUM(F17:G22)</f>
        <v>4840</v>
      </c>
      <c r="G23" s="508"/>
      <c r="H23" s="118"/>
      <c r="I23" s="34"/>
      <c r="J23" s="34"/>
      <c r="K23" s="34"/>
      <c r="L23" s="114"/>
      <c r="P23" s="106"/>
    </row>
    <row r="24" spans="2:16" ht="9.75" customHeight="1">
      <c r="B24" s="53"/>
      <c r="C24" s="34"/>
      <c r="D24" s="34"/>
      <c r="E24" s="34"/>
      <c r="F24" s="34"/>
      <c r="G24" s="34"/>
      <c r="H24" s="34"/>
      <c r="I24" s="34"/>
      <c r="J24" s="34"/>
      <c r="K24" s="34"/>
      <c r="L24" s="114"/>
      <c r="P24" s="106"/>
    </row>
    <row r="25" spans="2:16" ht="9.75" customHeight="1">
      <c r="B25" s="53"/>
      <c r="C25" s="489" t="s">
        <v>273</v>
      </c>
      <c r="D25" s="489"/>
      <c r="E25" s="489"/>
      <c r="F25" s="489"/>
      <c r="G25" s="489"/>
      <c r="H25" s="489"/>
      <c r="I25" s="489"/>
      <c r="J25" s="489"/>
      <c r="K25" s="489"/>
      <c r="L25" s="114"/>
      <c r="P25" s="106"/>
    </row>
    <row r="26" spans="2:16" ht="9.75" customHeight="1">
      <c r="B26" s="53"/>
      <c r="C26" s="40"/>
      <c r="D26" s="40"/>
      <c r="E26" s="40"/>
      <c r="F26" s="141"/>
      <c r="G26" s="141"/>
      <c r="H26" s="34"/>
      <c r="I26" s="34"/>
      <c r="J26" s="34"/>
      <c r="K26" s="34"/>
      <c r="L26" s="114"/>
      <c r="P26" s="106"/>
    </row>
    <row r="27" spans="2:17" ht="10.5" customHeight="1">
      <c r="B27" s="53"/>
      <c r="C27" s="498" t="s">
        <v>274</v>
      </c>
      <c r="D27" s="499"/>
      <c r="E27" s="504" t="s">
        <v>275</v>
      </c>
      <c r="F27" s="509" t="s">
        <v>276</v>
      </c>
      <c r="G27" s="444" t="s">
        <v>360</v>
      </c>
      <c r="H27" s="444" t="s">
        <v>277</v>
      </c>
      <c r="I27" s="504" t="s">
        <v>269</v>
      </c>
      <c r="J27" s="33"/>
      <c r="K27" s="33"/>
      <c r="L27" s="114"/>
      <c r="Q27" s="106"/>
    </row>
    <row r="28" spans="2:17" ht="15.75" customHeight="1">
      <c r="B28" s="53"/>
      <c r="C28" s="500"/>
      <c r="D28" s="501"/>
      <c r="E28" s="446"/>
      <c r="F28" s="509"/>
      <c r="G28" s="446"/>
      <c r="H28" s="513"/>
      <c r="I28" s="513"/>
      <c r="J28" s="33"/>
      <c r="K28" s="33"/>
      <c r="L28" s="114"/>
      <c r="Q28" s="106"/>
    </row>
    <row r="29" spans="2:12" ht="26.25" customHeight="1">
      <c r="B29" s="53"/>
      <c r="C29" s="502"/>
      <c r="D29" s="503"/>
      <c r="E29" s="445"/>
      <c r="F29" s="509"/>
      <c r="G29" s="445"/>
      <c r="H29" s="514"/>
      <c r="I29" s="514"/>
      <c r="J29" s="33"/>
      <c r="K29" s="33"/>
      <c r="L29" s="114"/>
    </row>
    <row r="30" spans="2:12" ht="13.5" customHeight="1">
      <c r="B30" s="53"/>
      <c r="C30" s="142" t="str">
        <f>IF('Пособие по временной нетрудосп.'!$C$107="","",'Пособие по временной нетрудосп.'!$C$107)</f>
        <v>Октябрь</v>
      </c>
      <c r="D30" s="143">
        <f>IF('Пособие по временной нетрудосп.'!$D$107="","",'Пособие по временной нетрудосп.'!$D$107)</f>
        <v>2020</v>
      </c>
      <c r="E30" s="147">
        <f>'Пособие по временной нетрудосп.'!E107</f>
        <v>27</v>
      </c>
      <c r="F30" s="304">
        <f>'Пособие по временной нетрудосп.'!$I$107</f>
        <v>791.91</v>
      </c>
      <c r="G30" s="305">
        <f>'Пособие по временной нетрудосп.'!J107</f>
        <v>111.52741935483871</v>
      </c>
      <c r="H30" s="305">
        <f>'Пособие по временной нетрудосп.'!K107</f>
        <v>3304.02</v>
      </c>
      <c r="I30" s="306">
        <f>IF('Пособие по временной нетрудосп.'!$L$113='Пособие по временной нетрудосп.'!$J$113,'Пособие по временной нетрудосп.'!$J$107,IF('Пособие по временной нетрудосп.'!$L$113='Пособие по временной нетрудосп.'!$K$113,'Пособие по временной нетрудосп.'!$K$107,'Пособие по временной нетрудосп.'!$I$107))</f>
        <v>791.91</v>
      </c>
      <c r="J30" s="33"/>
      <c r="K30" s="33"/>
      <c r="L30" s="114"/>
    </row>
    <row r="31" spans="2:12" ht="13.5" customHeight="1">
      <c r="B31" s="53"/>
      <c r="C31" s="144" t="str">
        <f>IF('Пособие по временной нетрудосп.'!$C$108="","",'Пособие по временной нетрудосп.'!$C$108)</f>
        <v>Ноябрь</v>
      </c>
      <c r="D31" s="145">
        <f>IF('Пособие по временной нетрудосп.'!$D$108="","",'Пособие по временной нетрудосп.'!$D$108)</f>
        <v>2020</v>
      </c>
      <c r="E31" s="148">
        <f>'Пособие по временной нетрудосп.'!E108</f>
        <v>30</v>
      </c>
      <c r="F31" s="307">
        <f>'Пособие по временной нетрудосп.'!$I$108</f>
        <v>879.9</v>
      </c>
      <c r="G31" s="308">
        <f>'Пособие по временной нетрудосп.'!J108</f>
        <v>129.055</v>
      </c>
      <c r="H31" s="308">
        <f>'Пособие по временной нетрудосп.'!K108</f>
        <v>3793.5</v>
      </c>
      <c r="I31" s="309">
        <f>IF('Пособие по временной нетрудосп.'!$L$113='Пособие по временной нетрудосп.'!$J$113,'Пособие по временной нетрудосп.'!$J$108,IF('Пособие по временной нетрудосп.'!$L$113='Пособие по временной нетрудосп.'!$K$113,'Пособие по временной нетрудосп.'!$K$108,'Пособие по временной нетрудосп.'!$I$108))</f>
        <v>879.9</v>
      </c>
      <c r="J31" s="33"/>
      <c r="K31" s="33"/>
      <c r="L31" s="114"/>
    </row>
    <row r="32" spans="2:12" ht="13.5" customHeight="1">
      <c r="B32" s="53"/>
      <c r="C32" s="144" t="str">
        <f>IF('Пособие по временной нетрудосп.'!$C$109="","",'Пособие по временной нетрудосп.'!$C$109)</f>
        <v>Декабрь</v>
      </c>
      <c r="D32" s="145">
        <f>IF('Пособие по временной нетрудосп.'!$D$109="","",'Пособие по временной нетрудосп.'!$D$109)</f>
        <v>2020</v>
      </c>
      <c r="E32" s="148">
        <f>'Пособие по временной нетрудосп.'!E109</f>
        <v>31</v>
      </c>
      <c r="F32" s="307">
        <f>'Пособие по временной нетрудосп.'!$I$109</f>
        <v>909.23</v>
      </c>
      <c r="G32" s="308">
        <f>'Пособие по временной нетрудосп.'!J109</f>
        <v>129.055</v>
      </c>
      <c r="H32" s="308">
        <f>'Пособие по временной нетрудосп.'!K109</f>
        <v>3793.5</v>
      </c>
      <c r="I32" s="309">
        <f>IF('Пособие по временной нетрудосп.'!$L$113='Пособие по временной нетрудосп.'!$J$113,'Пособие по временной нетрудосп.'!$J$109,IF('Пособие по временной нетрудосп.'!$L$113='Пособие по временной нетрудосп.'!$K$113,'Пособие по временной нетрудосп.'!$K$109,'Пособие по временной нетрудосп.'!$I$109))</f>
        <v>909.23</v>
      </c>
      <c r="J32" s="33"/>
      <c r="K32" s="33"/>
      <c r="L32" s="114"/>
    </row>
    <row r="33" spans="2:12" ht="13.5" customHeight="1">
      <c r="B33" s="53"/>
      <c r="C33" s="144" t="str">
        <f>IF('Пособие по временной нетрудосп.'!$C$110="","",'Пособие по временной нетрудосп.'!$C$110)</f>
        <v>Январь</v>
      </c>
      <c r="D33" s="145">
        <f>IF('Пособие по временной нетрудосп.'!$D$110="","",'Пособие по временной нетрудосп.'!$D$110)</f>
        <v>2021</v>
      </c>
      <c r="E33" s="148">
        <f>'Пособие по временной нетрудосп.'!E110</f>
        <v>31</v>
      </c>
      <c r="F33" s="307">
        <f>'Пособие по временной нетрудосп.'!$I$110</f>
        <v>909.23</v>
      </c>
      <c r="G33" s="308">
        <f>'Пособие по временной нетрудосп.'!J110</f>
        <v>129.055</v>
      </c>
      <c r="H33" s="308">
        <f>'Пособие по временной нетрудосп.'!K110</f>
        <v>3793.5</v>
      </c>
      <c r="I33" s="309">
        <f>IF('Пособие по временной нетрудосп.'!$L$113='Пособие по временной нетрудосп.'!$J$113,'Пособие по временной нетрудосп.'!$J$110,IF('Пособие по временной нетрудосп.'!$L$113='Пособие по временной нетрудосп.'!$K$113,'Пособие по временной нетрудосп.'!$K$110,'Пособие по временной нетрудосп.'!$I$110))</f>
        <v>909.23</v>
      </c>
      <c r="J33" s="33"/>
      <c r="K33" s="33"/>
      <c r="L33" s="114"/>
    </row>
    <row r="34" spans="2:12" ht="13.5" customHeight="1">
      <c r="B34" s="53"/>
      <c r="C34" s="144" t="str">
        <f>IF('Пособие по временной нетрудосп.'!$C$111="","",'Пособие по временной нетрудосп.'!$C$111)</f>
        <v>Февраль</v>
      </c>
      <c r="D34" s="145">
        <f>IF('Пособие по временной нетрудосп.'!$D$111="","",'Пособие по временной нетрудосп.'!$D$111)</f>
        <v>2021</v>
      </c>
      <c r="E34" s="148">
        <f>'Пособие по временной нетрудосп.'!E111</f>
        <v>7</v>
      </c>
      <c r="F34" s="307">
        <f>'Пособие по временной нетрудосп.'!$I$111</f>
        <v>205.31</v>
      </c>
      <c r="G34" s="308">
        <f>'Пособие по временной нетрудосп.'!J111</f>
        <v>32.26375</v>
      </c>
      <c r="H34" s="308">
        <f>'Пособие по временной нетрудосп.'!K111</f>
        <v>948.38</v>
      </c>
      <c r="I34" s="309">
        <f>IF('Пособие по временной нетрудосп.'!$L$113='Пособие по временной нетрудосп.'!$J$113,'Пособие по временной нетрудосп.'!$J$111,IF('Пособие по временной нетрудосп.'!$L$113='Пособие по временной нетрудосп.'!$K$113,'Пособие по временной нетрудосп.'!$K$111,'Пособие по временной нетрудосп.'!$I$111))</f>
        <v>205.31</v>
      </c>
      <c r="J34" s="33"/>
      <c r="K34" s="33"/>
      <c r="L34" s="114"/>
    </row>
    <row r="35" spans="2:12" ht="13.5" customHeight="1">
      <c r="B35" s="53"/>
      <c r="C35" s="209" t="str">
        <f>IF('Пособие по временной нетрудосп.'!$C$112="","",'Пособие по временной нетрудосп.'!$C$112)</f>
        <v>Март</v>
      </c>
      <c r="D35" s="146">
        <f>IF('Пособие по временной нетрудосп.'!$D$112="","",'Пособие по временной нетрудосп.'!$D$112)</f>
        <v>2021</v>
      </c>
      <c r="E35" s="149">
        <f>'Пособие по временной нетрудосп.'!E112</f>
        <v>0</v>
      </c>
      <c r="F35" s="310">
        <f>'Пособие по временной нетрудосп.'!$I$112</f>
        <v>0</v>
      </c>
      <c r="G35" s="311">
        <f>'Пособие по временной нетрудосп.'!J112</f>
        <v>0</v>
      </c>
      <c r="H35" s="311">
        <f>'Пособие по временной нетрудосп.'!K112</f>
        <v>0</v>
      </c>
      <c r="I35" s="312">
        <f>IF('Пособие по временной нетрудосп.'!$L$113='Пособие по временной нетрудосп.'!$J$113,'Пособие по временной нетрудосп.'!$J$112,IF('Пособие по временной нетрудосп.'!$L$113='Пособие по временной нетрудосп.'!$K$113,'Пособие по временной нетрудосп.'!$K$112,'Пособие по временной нетрудосп.'!$I$112))</f>
        <v>0</v>
      </c>
      <c r="J35" s="33"/>
      <c r="K35" s="33"/>
      <c r="L35" s="114"/>
    </row>
    <row r="36" spans="2:12" ht="13.5" customHeight="1">
      <c r="B36" s="53"/>
      <c r="C36" s="34"/>
      <c r="D36" s="34"/>
      <c r="E36" s="208">
        <f>SUM(E30:E35)</f>
        <v>126</v>
      </c>
      <c r="F36" s="313">
        <f>SUM(F30:F35)</f>
        <v>3695.58</v>
      </c>
      <c r="G36" s="313">
        <f>SUM(G30:G35)</f>
        <v>530.9561693548387</v>
      </c>
      <c r="H36" s="313">
        <f>SUM(H30:H35)</f>
        <v>15632.9</v>
      </c>
      <c r="I36" s="313">
        <f>SUM(I30:I35)</f>
        <v>3695.58</v>
      </c>
      <c r="J36" s="33"/>
      <c r="K36" s="33"/>
      <c r="L36" s="114"/>
    </row>
    <row r="37" spans="2:12" ht="12" customHeight="1">
      <c r="B37" s="53"/>
      <c r="C37" s="34"/>
      <c r="D37" s="34"/>
      <c r="E37" s="151"/>
      <c r="F37" s="150"/>
      <c r="G37" s="150"/>
      <c r="H37" s="152"/>
      <c r="I37" s="152"/>
      <c r="J37" s="152"/>
      <c r="K37" s="152"/>
      <c r="L37" s="114"/>
    </row>
    <row r="38" spans="2:12" ht="12" customHeight="1">
      <c r="B38" s="53"/>
      <c r="C38" s="40" t="s">
        <v>278</v>
      </c>
      <c r="D38" s="40"/>
      <c r="E38" s="108"/>
      <c r="F38" s="34"/>
      <c r="G38" s="34"/>
      <c r="H38" s="34"/>
      <c r="I38" s="34"/>
      <c r="J38" s="109"/>
      <c r="K38" s="34"/>
      <c r="L38" s="114"/>
    </row>
    <row r="39" spans="2:12" ht="12" customHeight="1">
      <c r="B39" s="53"/>
      <c r="C39" s="512" t="str">
        <f>'Пособие по временной нетрудосп.'!C115</f>
        <v>Три тысячи шестьсот девяносто пять рублей 58 копеек.</v>
      </c>
      <c r="D39" s="512"/>
      <c r="E39" s="512"/>
      <c r="F39" s="512"/>
      <c r="G39" s="512"/>
      <c r="H39" s="512"/>
      <c r="I39" s="512"/>
      <c r="J39" s="512"/>
      <c r="K39" s="512"/>
      <c r="L39" s="114"/>
    </row>
    <row r="40" spans="2:12" ht="12" customHeight="1">
      <c r="B40" s="53"/>
      <c r="C40" s="153"/>
      <c r="D40" s="153"/>
      <c r="E40" s="153"/>
      <c r="F40" s="153"/>
      <c r="G40" s="153"/>
      <c r="H40" s="153"/>
      <c r="I40" s="153"/>
      <c r="J40" s="34"/>
      <c r="K40" s="34"/>
      <c r="L40" s="114"/>
    </row>
    <row r="41" spans="2:12" ht="12" customHeight="1">
      <c r="B41" s="53"/>
      <c r="C41" s="61" t="s">
        <v>182</v>
      </c>
      <c r="D41" s="61"/>
      <c r="E41" s="61"/>
      <c r="F41" s="61"/>
      <c r="G41" s="207" t="str">
        <f>'Пособие по временной нетрудосп.'!G117</f>
        <v>сентябрь</v>
      </c>
      <c r="H41" s="34" t="s">
        <v>159</v>
      </c>
      <c r="I41" s="34"/>
      <c r="J41" s="34"/>
      <c r="K41" s="34"/>
      <c r="L41" s="114"/>
    </row>
    <row r="42" spans="2:12" ht="12" customHeight="1">
      <c r="B42" s="53"/>
      <c r="C42" s="34"/>
      <c r="D42" s="34"/>
      <c r="E42" s="34"/>
      <c r="F42" s="34"/>
      <c r="G42" s="105" t="s">
        <v>183</v>
      </c>
      <c r="H42" s="34"/>
      <c r="I42" s="34"/>
      <c r="J42" s="34"/>
      <c r="K42" s="34"/>
      <c r="L42" s="114"/>
    </row>
    <row r="43" spans="2:12" ht="12" customHeight="1">
      <c r="B43" s="53"/>
      <c r="C43" s="34"/>
      <c r="D43" s="34"/>
      <c r="E43" s="34"/>
      <c r="F43" s="34"/>
      <c r="G43" s="34"/>
      <c r="H43" s="34"/>
      <c r="I43" s="34"/>
      <c r="J43" s="34"/>
      <c r="K43" s="34"/>
      <c r="L43" s="114"/>
    </row>
    <row r="44" spans="2:12" ht="12" customHeight="1">
      <c r="B44" s="53"/>
      <c r="C44" s="511" t="str">
        <f>'Пособие по временной нетрудосп.'!C120</f>
        <v>Главный бухгалтер</v>
      </c>
      <c r="D44" s="511"/>
      <c r="E44" s="511"/>
      <c r="F44" s="155"/>
      <c r="G44" s="510">
        <f>'Пособие по временной нетрудосп.'!H120</f>
        <v>0</v>
      </c>
      <c r="H44" s="510"/>
      <c r="I44" s="155"/>
      <c r="J44" s="511" t="str">
        <f>'Пособие по временной нетрудосп.'!K120</f>
        <v>Г.С.Степанова</v>
      </c>
      <c r="K44" s="511"/>
      <c r="L44" s="114"/>
    </row>
    <row r="45" spans="2:12" ht="12" customHeight="1">
      <c r="B45" s="53"/>
      <c r="C45" s="450" t="s">
        <v>359</v>
      </c>
      <c r="D45" s="450"/>
      <c r="E45" s="450"/>
      <c r="F45" s="33"/>
      <c r="G45" s="450" t="s">
        <v>266</v>
      </c>
      <c r="H45" s="450"/>
      <c r="I45" s="33"/>
      <c r="J45" s="450" t="s">
        <v>267</v>
      </c>
      <c r="K45" s="450"/>
      <c r="L45" s="114"/>
    </row>
    <row r="46" spans="2:12" ht="12" customHeight="1">
      <c r="B46" s="53"/>
      <c r="C46" s="34"/>
      <c r="D46" s="34"/>
      <c r="E46" s="34"/>
      <c r="F46" s="34"/>
      <c r="G46" s="34"/>
      <c r="H46" s="34"/>
      <c r="I46" s="34"/>
      <c r="J46" s="34"/>
      <c r="K46" s="34"/>
      <c r="L46" s="114"/>
    </row>
    <row r="47" spans="2:12" ht="12" customHeight="1">
      <c r="B47" s="53"/>
      <c r="C47" s="124">
        <f ca="1">TODAY()</f>
        <v>44272</v>
      </c>
      <c r="D47" s="34"/>
      <c r="E47" s="34"/>
      <c r="F47" s="34"/>
      <c r="G47" s="34"/>
      <c r="H47" s="34"/>
      <c r="I47" s="34"/>
      <c r="J47" s="34"/>
      <c r="K47" s="34"/>
      <c r="L47" s="114"/>
    </row>
    <row r="48" spans="2:12" ht="11.25" thickBot="1">
      <c r="B48" s="115"/>
      <c r="C48" s="116"/>
      <c r="D48" s="116"/>
      <c r="E48" s="116"/>
      <c r="F48" s="116"/>
      <c r="G48" s="116"/>
      <c r="H48" s="116"/>
      <c r="I48" s="116"/>
      <c r="J48" s="116"/>
      <c r="K48" s="116"/>
      <c r="L48" s="117"/>
    </row>
  </sheetData>
  <sheetProtection/>
  <mergeCells count="35">
    <mergeCell ref="B1:W2"/>
    <mergeCell ref="G44:H44"/>
    <mergeCell ref="J44:K44"/>
    <mergeCell ref="C45:E45"/>
    <mergeCell ref="G45:H45"/>
    <mergeCell ref="J45:K45"/>
    <mergeCell ref="C44:E44"/>
    <mergeCell ref="C39:K39"/>
    <mergeCell ref="H27:H29"/>
    <mergeCell ref="I27:I29"/>
    <mergeCell ref="C27:D29"/>
    <mergeCell ref="E27:E29"/>
    <mergeCell ref="C23:D23"/>
    <mergeCell ref="C25:K25"/>
    <mergeCell ref="G27:G29"/>
    <mergeCell ref="F23:G23"/>
    <mergeCell ref="F27:F29"/>
    <mergeCell ref="C16:D16"/>
    <mergeCell ref="F16:G16"/>
    <mergeCell ref="C14:K14"/>
    <mergeCell ref="F17:G17"/>
    <mergeCell ref="H17:H22"/>
    <mergeCell ref="F18:G18"/>
    <mergeCell ref="F19:G19"/>
    <mergeCell ref="F20:G20"/>
    <mergeCell ref="F21:G21"/>
    <mergeCell ref="F22:G22"/>
    <mergeCell ref="C4:K4"/>
    <mergeCell ref="D6:I6"/>
    <mergeCell ref="F8:K8"/>
    <mergeCell ref="C12:K12"/>
    <mergeCell ref="C11:K11"/>
    <mergeCell ref="C8:E8"/>
    <mergeCell ref="C9:E9"/>
    <mergeCell ref="C10:E10"/>
  </mergeCells>
  <conditionalFormatting sqref="I10:J10">
    <cfRule type="cellIs" priority="1" dxfId="5" operator="notEqual" stopIfTrue="1">
      <formula>"Начало нетрудоспособности"</formula>
    </cfRule>
  </conditionalFormatting>
  <conditionalFormatting sqref="K10">
    <cfRule type="cellIs" priority="2" dxfId="6" operator="equal" stopIfTrue="1">
      <formula>0</formula>
    </cfRule>
  </conditionalFormatting>
  <printOptions/>
  <pageMargins left="0.7874015748031497" right="0.3937007874015748"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6.xml><?xml version="1.0" encoding="utf-8"?>
<worksheet xmlns="http://schemas.openxmlformats.org/spreadsheetml/2006/main" xmlns:r="http://schemas.openxmlformats.org/officeDocument/2006/relationships">
  <dimension ref="A1:H156"/>
  <sheetViews>
    <sheetView zoomScalePageLayoutView="0" workbookViewId="0" topLeftCell="A1">
      <selection activeCell="A1" sqref="A1"/>
    </sheetView>
  </sheetViews>
  <sheetFormatPr defaultColWidth="9.00390625" defaultRowHeight="12.75"/>
  <cols>
    <col min="1" max="1" width="2.75390625" style="243" customWidth="1"/>
    <col min="2" max="3" width="12.875" style="382" customWidth="1"/>
    <col min="4" max="10" width="8.75390625" style="243" customWidth="1"/>
    <col min="11" max="11" width="9.625" style="243" customWidth="1"/>
    <col min="12" max="21" width="10.75390625" style="243" customWidth="1"/>
    <col min="22" max="16384" width="9.125" style="382" customWidth="1"/>
  </cols>
  <sheetData>
    <row r="1" ht="10.5">
      <c r="A1" s="381"/>
    </row>
    <row r="2" spans="2:7" ht="57" customHeight="1">
      <c r="B2" s="516" t="s">
        <v>285</v>
      </c>
      <c r="C2" s="516"/>
      <c r="D2" s="516"/>
      <c r="E2" s="265"/>
      <c r="G2" s="243" t="s">
        <v>250</v>
      </c>
    </row>
    <row r="3" spans="2:7" ht="10.5">
      <c r="B3" s="383"/>
      <c r="C3" s="266"/>
      <c r="D3" s="266"/>
      <c r="G3" s="243" t="s">
        <v>251</v>
      </c>
    </row>
    <row r="4" spans="1:5" ht="63.75" customHeight="1">
      <c r="A4" s="243" t="str">
        <f aca="true" t="shared" si="0" ref="A4:A53">CONCATENATE(C4,B4)</f>
        <v>МесяцГод</v>
      </c>
      <c r="B4" s="384" t="s">
        <v>161</v>
      </c>
      <c r="C4" s="385" t="s">
        <v>175</v>
      </c>
      <c r="D4" s="386" t="s">
        <v>160</v>
      </c>
      <c r="E4" s="387"/>
    </row>
    <row r="5" spans="1:5" ht="12" customHeight="1">
      <c r="A5" s="243" t="str">
        <f t="shared" si="0"/>
        <v>Февраль2022</v>
      </c>
      <c r="B5" s="404">
        <v>2022</v>
      </c>
      <c r="C5" s="393" t="s">
        <v>149</v>
      </c>
      <c r="D5" s="390">
        <f aca="true" t="shared" si="1" ref="D5:D10">D6</f>
        <v>1474.6</v>
      </c>
      <c r="E5" s="387"/>
    </row>
    <row r="6" spans="1:5" ht="12" customHeight="1">
      <c r="A6" s="243" t="str">
        <f t="shared" si="0"/>
        <v>Январь2022</v>
      </c>
      <c r="B6" s="404">
        <v>2022</v>
      </c>
      <c r="C6" s="393" t="s">
        <v>147</v>
      </c>
      <c r="D6" s="390">
        <f t="shared" si="1"/>
        <v>1474.6</v>
      </c>
      <c r="E6" s="387"/>
    </row>
    <row r="7" spans="1:5" ht="12" customHeight="1">
      <c r="A7" s="243" t="str">
        <f t="shared" si="0"/>
        <v>Декабрь2021</v>
      </c>
      <c r="B7" s="388">
        <v>2021</v>
      </c>
      <c r="C7" s="389" t="s">
        <v>148</v>
      </c>
      <c r="D7" s="390">
        <f t="shared" si="1"/>
        <v>1474.6</v>
      </c>
      <c r="E7" s="387"/>
    </row>
    <row r="8" spans="1:5" ht="12" customHeight="1">
      <c r="A8" s="243" t="str">
        <f t="shared" si="0"/>
        <v>Ноябрь2021</v>
      </c>
      <c r="B8" s="388">
        <v>2021</v>
      </c>
      <c r="C8" s="389" t="s">
        <v>158</v>
      </c>
      <c r="D8" s="390">
        <f t="shared" si="1"/>
        <v>1474.6</v>
      </c>
      <c r="E8" s="387"/>
    </row>
    <row r="9" spans="1:5" ht="12" customHeight="1">
      <c r="A9" s="243" t="str">
        <f t="shared" si="0"/>
        <v>Октябрь2021</v>
      </c>
      <c r="B9" s="388">
        <v>2021</v>
      </c>
      <c r="C9" s="389" t="s">
        <v>157</v>
      </c>
      <c r="D9" s="390">
        <f t="shared" si="1"/>
        <v>1474.6</v>
      </c>
      <c r="E9" s="387"/>
    </row>
    <row r="10" spans="1:5" ht="12" customHeight="1">
      <c r="A10" s="243" t="str">
        <f t="shared" si="0"/>
        <v>Сентябрь2021</v>
      </c>
      <c r="B10" s="388">
        <v>2021</v>
      </c>
      <c r="C10" s="389" t="s">
        <v>156</v>
      </c>
      <c r="D10" s="390">
        <f t="shared" si="1"/>
        <v>1474.6</v>
      </c>
      <c r="E10" s="387"/>
    </row>
    <row r="11" spans="1:5" ht="12" customHeight="1">
      <c r="A11" s="243" t="str">
        <f t="shared" si="0"/>
        <v>Август2021</v>
      </c>
      <c r="B11" s="388">
        <v>2021</v>
      </c>
      <c r="C11" s="389" t="s">
        <v>155</v>
      </c>
      <c r="D11" s="390">
        <f aca="true" t="shared" si="2" ref="D11:D18">D12</f>
        <v>1474.6</v>
      </c>
      <c r="E11" s="387"/>
    </row>
    <row r="12" spans="1:5" ht="12" customHeight="1">
      <c r="A12" s="243" t="str">
        <f t="shared" si="0"/>
        <v>Июль2021</v>
      </c>
      <c r="B12" s="388">
        <v>2021</v>
      </c>
      <c r="C12" s="389" t="s">
        <v>154</v>
      </c>
      <c r="D12" s="390">
        <f t="shared" si="2"/>
        <v>1474.6</v>
      </c>
      <c r="E12" s="387"/>
    </row>
    <row r="13" spans="1:5" ht="12" customHeight="1">
      <c r="A13" s="243" t="str">
        <f t="shared" si="0"/>
        <v>Июнь2021</v>
      </c>
      <c r="B13" s="388">
        <v>2021</v>
      </c>
      <c r="C13" s="389" t="s">
        <v>153</v>
      </c>
      <c r="D13" s="390">
        <f t="shared" si="2"/>
        <v>1474.6</v>
      </c>
      <c r="E13" s="387"/>
    </row>
    <row r="14" spans="1:5" ht="12" customHeight="1">
      <c r="A14" s="243" t="str">
        <f t="shared" si="0"/>
        <v>Май2021</v>
      </c>
      <c r="B14" s="388">
        <v>2021</v>
      </c>
      <c r="C14" s="389" t="s">
        <v>152</v>
      </c>
      <c r="D14" s="390">
        <f t="shared" si="2"/>
        <v>1474.6</v>
      </c>
      <c r="E14" s="387"/>
    </row>
    <row r="15" spans="1:7" ht="12" customHeight="1">
      <c r="A15" s="243" t="str">
        <f t="shared" si="0"/>
        <v>Апрель2021</v>
      </c>
      <c r="B15" s="388">
        <v>2021</v>
      </c>
      <c r="C15" s="393" t="s">
        <v>151</v>
      </c>
      <c r="D15" s="390">
        <f t="shared" si="2"/>
        <v>1474.6</v>
      </c>
      <c r="E15" s="387"/>
      <c r="G15" s="243" t="s">
        <v>252</v>
      </c>
    </row>
    <row r="16" spans="1:5" ht="12" customHeight="1">
      <c r="A16" s="243" t="str">
        <f aca="true" t="shared" si="3" ref="A16:A25">CONCATENATE(C16,B16)</f>
        <v>Март2021</v>
      </c>
      <c r="B16" s="388">
        <v>2021</v>
      </c>
      <c r="C16" s="391" t="s">
        <v>150</v>
      </c>
      <c r="D16" s="390">
        <f t="shared" si="2"/>
        <v>1474.6</v>
      </c>
      <c r="E16" s="387"/>
    </row>
    <row r="17" spans="1:5" ht="12" customHeight="1">
      <c r="A17" s="243" t="str">
        <f t="shared" si="3"/>
        <v>Февраль2021</v>
      </c>
      <c r="B17" s="388">
        <v>2021</v>
      </c>
      <c r="C17" s="393" t="s">
        <v>149</v>
      </c>
      <c r="D17" s="390">
        <f t="shared" si="2"/>
        <v>1474.6</v>
      </c>
      <c r="E17" s="387"/>
    </row>
    <row r="18" spans="1:5" ht="12" customHeight="1">
      <c r="A18" s="243" t="str">
        <f t="shared" si="3"/>
        <v>Январь2021</v>
      </c>
      <c r="B18" s="388">
        <v>2021</v>
      </c>
      <c r="C18" s="393" t="s">
        <v>147</v>
      </c>
      <c r="D18" s="390">
        <f t="shared" si="2"/>
        <v>1474.6</v>
      </c>
      <c r="E18" s="387"/>
    </row>
    <row r="19" spans="1:5" ht="12" customHeight="1">
      <c r="A19" s="243" t="str">
        <f t="shared" si="3"/>
        <v>Декабрь2020</v>
      </c>
      <c r="B19" s="388">
        <v>2020</v>
      </c>
      <c r="C19" s="389" t="s">
        <v>148</v>
      </c>
      <c r="D19" s="390">
        <v>1474.6</v>
      </c>
      <c r="E19" s="387"/>
    </row>
    <row r="20" spans="1:5" ht="12" customHeight="1">
      <c r="A20" s="243" t="str">
        <f t="shared" si="3"/>
        <v>Ноябрь2020</v>
      </c>
      <c r="B20" s="388">
        <v>2020</v>
      </c>
      <c r="C20" s="389" t="s">
        <v>158</v>
      </c>
      <c r="D20" s="390">
        <v>1300.5</v>
      </c>
      <c r="E20" s="387"/>
    </row>
    <row r="21" spans="1:5" ht="12" customHeight="1">
      <c r="A21" s="243" t="str">
        <f t="shared" si="3"/>
        <v>Октябрь2020</v>
      </c>
      <c r="B21" s="388">
        <v>2020</v>
      </c>
      <c r="C21" s="389" t="s">
        <v>157</v>
      </c>
      <c r="D21" s="390">
        <v>1285</v>
      </c>
      <c r="E21" s="387"/>
    </row>
    <row r="22" spans="1:5" ht="12" customHeight="1">
      <c r="A22" s="243" t="str">
        <f t="shared" si="3"/>
        <v>Сентябрь2020</v>
      </c>
      <c r="B22" s="388">
        <v>2020</v>
      </c>
      <c r="C22" s="389" t="s">
        <v>156</v>
      </c>
      <c r="D22" s="390">
        <v>1264.5</v>
      </c>
      <c r="E22" s="387"/>
    </row>
    <row r="23" spans="1:5" ht="12" customHeight="1">
      <c r="A23" s="243" t="str">
        <f t="shared" si="3"/>
        <v>Август2020</v>
      </c>
      <c r="B23" s="388">
        <v>2020</v>
      </c>
      <c r="C23" s="389" t="s">
        <v>155</v>
      </c>
      <c r="D23" s="390">
        <v>1276.4</v>
      </c>
      <c r="E23" s="387"/>
    </row>
    <row r="24" spans="1:5" ht="12" customHeight="1">
      <c r="A24" s="243" t="str">
        <f t="shared" si="3"/>
        <v>Июль2020</v>
      </c>
      <c r="B24" s="388">
        <v>2020</v>
      </c>
      <c r="C24" s="389" t="s">
        <v>154</v>
      </c>
      <c r="D24" s="390">
        <v>1287.5</v>
      </c>
      <c r="E24" s="387"/>
    </row>
    <row r="25" spans="1:5" ht="12" customHeight="1">
      <c r="A25" s="243" t="str">
        <f t="shared" si="3"/>
        <v>Июнь2020</v>
      </c>
      <c r="B25" s="388">
        <v>2020</v>
      </c>
      <c r="C25" s="389" t="s">
        <v>153</v>
      </c>
      <c r="D25" s="390">
        <v>1248.9</v>
      </c>
      <c r="E25" s="387"/>
    </row>
    <row r="26" spans="1:7" ht="12" customHeight="1">
      <c r="A26" s="243" t="str">
        <f t="shared" si="0"/>
        <v>Май2020</v>
      </c>
      <c r="B26" s="388">
        <v>2020</v>
      </c>
      <c r="C26" s="389" t="s">
        <v>152</v>
      </c>
      <c r="D26" s="390">
        <v>1227.9</v>
      </c>
      <c r="E26" s="387"/>
      <c r="G26" s="243" t="s">
        <v>253</v>
      </c>
    </row>
    <row r="27" spans="1:5" ht="12" customHeight="1">
      <c r="A27" s="243" t="str">
        <f t="shared" si="0"/>
        <v>Апрель2020</v>
      </c>
      <c r="B27" s="388">
        <v>2020</v>
      </c>
      <c r="C27" s="389" t="s">
        <v>151</v>
      </c>
      <c r="D27" s="390">
        <v>1193.8</v>
      </c>
      <c r="E27" s="387"/>
    </row>
    <row r="28" spans="1:5" ht="12" customHeight="1">
      <c r="A28" s="243" t="str">
        <f t="shared" si="0"/>
        <v>Март2020</v>
      </c>
      <c r="B28" s="388">
        <v>2020</v>
      </c>
      <c r="C28" s="389" t="s">
        <v>150</v>
      </c>
      <c r="D28" s="390">
        <v>1213.6</v>
      </c>
      <c r="E28" s="387"/>
    </row>
    <row r="29" spans="1:5" ht="12" customHeight="1">
      <c r="A29" s="243" t="str">
        <f t="shared" si="0"/>
        <v>Февраль2020</v>
      </c>
      <c r="B29" s="388">
        <v>2020</v>
      </c>
      <c r="C29" s="389" t="s">
        <v>149</v>
      </c>
      <c r="D29" s="390">
        <v>1119.7</v>
      </c>
      <c r="E29" s="387"/>
    </row>
    <row r="30" spans="1:5" ht="12" customHeight="1">
      <c r="A30" s="243" t="str">
        <f t="shared" si="0"/>
        <v>Январь2020</v>
      </c>
      <c r="B30" s="388">
        <v>2020</v>
      </c>
      <c r="C30" s="391" t="s">
        <v>147</v>
      </c>
      <c r="D30" s="390">
        <v>1118.1</v>
      </c>
      <c r="E30" s="387"/>
    </row>
    <row r="31" spans="1:5" ht="12" customHeight="1">
      <c r="A31" s="243" t="str">
        <f t="shared" si="0"/>
        <v>Декабрь2019</v>
      </c>
      <c r="B31" s="388">
        <v>2019</v>
      </c>
      <c r="C31" s="389" t="s">
        <v>148</v>
      </c>
      <c r="D31" s="390">
        <v>1238.7</v>
      </c>
      <c r="E31" s="387"/>
    </row>
    <row r="32" spans="1:5" ht="12" customHeight="1">
      <c r="A32" s="243" t="str">
        <f t="shared" si="0"/>
        <v>Ноябрь2019</v>
      </c>
      <c r="B32" s="388">
        <v>2019</v>
      </c>
      <c r="C32" s="389" t="s">
        <v>158</v>
      </c>
      <c r="D32" s="390">
        <v>1113.1</v>
      </c>
      <c r="E32" s="387"/>
    </row>
    <row r="33" spans="1:5" ht="12" customHeight="1">
      <c r="A33" s="243" t="str">
        <f t="shared" si="0"/>
        <v>Октябрь2019</v>
      </c>
      <c r="B33" s="388">
        <v>2019</v>
      </c>
      <c r="C33" s="389" t="s">
        <v>157</v>
      </c>
      <c r="D33" s="390">
        <v>1123.4</v>
      </c>
      <c r="E33" s="387"/>
    </row>
    <row r="34" spans="1:5" ht="12" customHeight="1">
      <c r="A34" s="243" t="str">
        <f t="shared" si="0"/>
        <v>Сентябрь2019</v>
      </c>
      <c r="B34" s="388">
        <v>2019</v>
      </c>
      <c r="C34" s="389" t="s">
        <v>156</v>
      </c>
      <c r="D34" s="390">
        <v>1108.5</v>
      </c>
      <c r="E34" s="392"/>
    </row>
    <row r="35" spans="1:5" ht="12" customHeight="1">
      <c r="A35" s="243" t="str">
        <f t="shared" si="0"/>
        <v>Август2019</v>
      </c>
      <c r="B35" s="388">
        <v>2019</v>
      </c>
      <c r="C35" s="389" t="s">
        <v>155</v>
      </c>
      <c r="D35" s="390">
        <v>1117.8</v>
      </c>
      <c r="E35" s="392"/>
    </row>
    <row r="36" spans="1:5" ht="12" customHeight="1">
      <c r="A36" s="243" t="str">
        <f t="shared" si="0"/>
        <v>Июль2019</v>
      </c>
      <c r="B36" s="388">
        <v>2019</v>
      </c>
      <c r="C36" s="391" t="s">
        <v>154</v>
      </c>
      <c r="D36" s="390">
        <v>1128.5</v>
      </c>
      <c r="E36" s="392"/>
    </row>
    <row r="37" spans="1:7" ht="12" customHeight="1">
      <c r="A37" s="243" t="str">
        <f t="shared" si="0"/>
        <v>Июнь2019</v>
      </c>
      <c r="B37" s="388">
        <v>2019</v>
      </c>
      <c r="C37" s="391" t="s">
        <v>153</v>
      </c>
      <c r="D37" s="390">
        <v>1080.5</v>
      </c>
      <c r="E37" s="387"/>
      <c r="G37" s="243" t="s">
        <v>252</v>
      </c>
    </row>
    <row r="38" spans="1:7" ht="12" customHeight="1">
      <c r="A38" s="243" t="str">
        <f t="shared" si="0"/>
        <v>Май2019</v>
      </c>
      <c r="B38" s="388">
        <v>2019</v>
      </c>
      <c r="C38" s="391" t="s">
        <v>152</v>
      </c>
      <c r="D38" s="390">
        <v>1071.6</v>
      </c>
      <c r="E38" s="387"/>
      <c r="G38" s="243" t="s">
        <v>253</v>
      </c>
    </row>
    <row r="39" spans="1:5" ht="12" customHeight="1">
      <c r="A39" s="243" t="str">
        <f t="shared" si="0"/>
        <v>Апрель2019</v>
      </c>
      <c r="B39" s="388">
        <v>2019</v>
      </c>
      <c r="C39" s="393" t="s">
        <v>151</v>
      </c>
      <c r="D39" s="390">
        <v>1073.7</v>
      </c>
      <c r="E39" s="387"/>
    </row>
    <row r="40" spans="1:5" ht="12" customHeight="1">
      <c r="A40" s="243" t="str">
        <f t="shared" si="0"/>
        <v>Март2019</v>
      </c>
      <c r="B40" s="388">
        <v>2019</v>
      </c>
      <c r="C40" s="391" t="s">
        <v>150</v>
      </c>
      <c r="D40" s="390">
        <v>1056.9</v>
      </c>
      <c r="E40" s="387"/>
    </row>
    <row r="41" spans="1:5" ht="12" customHeight="1">
      <c r="A41" s="243" t="str">
        <f t="shared" si="0"/>
        <v>Февраль2019</v>
      </c>
      <c r="B41" s="388">
        <v>2019</v>
      </c>
      <c r="C41" s="393" t="s">
        <v>149</v>
      </c>
      <c r="D41" s="390">
        <v>977.6</v>
      </c>
      <c r="E41" s="387"/>
    </row>
    <row r="42" spans="1:5" ht="12" customHeight="1">
      <c r="A42" s="243" t="str">
        <f t="shared" si="0"/>
        <v>Январь2019</v>
      </c>
      <c r="B42" s="388">
        <v>2019</v>
      </c>
      <c r="C42" s="393" t="s">
        <v>147</v>
      </c>
      <c r="D42" s="390">
        <v>981.6</v>
      </c>
      <c r="E42" s="387"/>
    </row>
    <row r="43" spans="1:5" ht="12" customHeight="1">
      <c r="A43" s="243" t="str">
        <f t="shared" si="0"/>
        <v>Декабрь2018</v>
      </c>
      <c r="B43" s="394">
        <v>2018</v>
      </c>
      <c r="C43" s="389" t="s">
        <v>148</v>
      </c>
      <c r="D43" s="390">
        <v>1115.3</v>
      </c>
      <c r="E43" s="387"/>
    </row>
    <row r="44" spans="1:5" ht="15" customHeight="1">
      <c r="A44" s="243" t="str">
        <f t="shared" si="0"/>
        <v>Ноябрь2018</v>
      </c>
      <c r="B44" s="394">
        <v>2018</v>
      </c>
      <c r="C44" s="389" t="s">
        <v>158</v>
      </c>
      <c r="D44" s="390">
        <v>994</v>
      </c>
      <c r="E44" s="387"/>
    </row>
    <row r="45" spans="1:5" ht="15" customHeight="1">
      <c r="A45" s="243" t="str">
        <f t="shared" si="0"/>
        <v>Октябрь2018</v>
      </c>
      <c r="B45" s="394">
        <v>2018</v>
      </c>
      <c r="C45" s="389" t="s">
        <v>157</v>
      </c>
      <c r="D45" s="390">
        <v>999.7</v>
      </c>
      <c r="E45" s="387"/>
    </row>
    <row r="46" spans="1:5" ht="15" customHeight="1">
      <c r="A46" s="243" t="str">
        <f t="shared" si="0"/>
        <v>Сентябрь2018</v>
      </c>
      <c r="B46" s="394">
        <v>2018</v>
      </c>
      <c r="C46" s="389" t="s">
        <v>156</v>
      </c>
      <c r="D46" s="390">
        <v>963.6</v>
      </c>
      <c r="E46" s="392"/>
    </row>
    <row r="47" spans="1:5" ht="15" customHeight="1">
      <c r="A47" s="243" t="str">
        <f t="shared" si="0"/>
        <v>Август2018</v>
      </c>
      <c r="B47" s="394">
        <v>2018</v>
      </c>
      <c r="C47" s="389" t="s">
        <v>155</v>
      </c>
      <c r="D47" s="390">
        <v>987.5</v>
      </c>
      <c r="E47" s="392"/>
    </row>
    <row r="48" spans="1:5" ht="15" customHeight="1">
      <c r="A48" s="243" t="str">
        <f t="shared" si="0"/>
        <v>Июль2018</v>
      </c>
      <c r="B48" s="394">
        <v>2018</v>
      </c>
      <c r="C48" s="391" t="s">
        <v>154</v>
      </c>
      <c r="D48" s="390">
        <v>973.8</v>
      </c>
      <c r="E48" s="392"/>
    </row>
    <row r="49" spans="1:5" ht="15" customHeight="1">
      <c r="A49" s="243" t="str">
        <f t="shared" si="0"/>
        <v>Июнь2018</v>
      </c>
      <c r="B49" s="394">
        <v>2018</v>
      </c>
      <c r="C49" s="391" t="s">
        <v>153</v>
      </c>
      <c r="D49" s="390">
        <v>953.7</v>
      </c>
      <c r="E49" s="392"/>
    </row>
    <row r="50" spans="1:5" ht="15" customHeight="1">
      <c r="A50" s="243" t="str">
        <f t="shared" si="0"/>
        <v>Май2018</v>
      </c>
      <c r="B50" s="394">
        <v>2018</v>
      </c>
      <c r="C50" s="391" t="s">
        <v>152</v>
      </c>
      <c r="D50" s="390">
        <v>943.9</v>
      </c>
      <c r="E50" s="392"/>
    </row>
    <row r="51" spans="1:5" ht="10.5">
      <c r="A51" s="243" t="str">
        <f t="shared" si="0"/>
        <v>Апрель2018</v>
      </c>
      <c r="B51" s="394">
        <v>2018</v>
      </c>
      <c r="C51" s="393" t="s">
        <v>151</v>
      </c>
      <c r="D51" s="390">
        <v>921</v>
      </c>
      <c r="E51" s="392"/>
    </row>
    <row r="52" spans="1:5" ht="10.5">
      <c r="A52" s="243" t="str">
        <f t="shared" si="0"/>
        <v>Март2018</v>
      </c>
      <c r="B52" s="394">
        <v>2018</v>
      </c>
      <c r="C52" s="391" t="s">
        <v>150</v>
      </c>
      <c r="D52" s="390">
        <v>926.8</v>
      </c>
      <c r="E52" s="392"/>
    </row>
    <row r="53" spans="1:5" ht="10.5">
      <c r="A53" s="243" t="str">
        <f t="shared" si="0"/>
        <v>Февраль2018</v>
      </c>
      <c r="B53" s="394">
        <v>2018</v>
      </c>
      <c r="C53" s="393" t="s">
        <v>149</v>
      </c>
      <c r="D53" s="390">
        <v>850.4</v>
      </c>
      <c r="E53" s="392"/>
    </row>
    <row r="54" spans="1:5" ht="15" customHeight="1">
      <c r="A54" s="243" t="str">
        <f>CONCATENATE(C54,B54)</f>
        <v>Январь2018</v>
      </c>
      <c r="B54" s="394">
        <v>2018</v>
      </c>
      <c r="C54" s="393" t="s">
        <v>147</v>
      </c>
      <c r="D54" s="390">
        <v>859</v>
      </c>
      <c r="E54" s="392"/>
    </row>
    <row r="55" spans="1:5" ht="15" customHeight="1">
      <c r="A55" s="243" t="str">
        <f aca="true" t="shared" si="4" ref="A55:A78">CONCATENATE(C55,B55)</f>
        <v>Декабрь2017</v>
      </c>
      <c r="B55" s="388">
        <v>2017</v>
      </c>
      <c r="C55" s="389" t="s">
        <v>148</v>
      </c>
      <c r="D55" s="390">
        <v>995.3</v>
      </c>
      <c r="E55" s="392"/>
    </row>
    <row r="56" spans="1:5" ht="15" customHeight="1">
      <c r="A56" s="243" t="str">
        <f t="shared" si="4"/>
        <v>Ноябрь2017</v>
      </c>
      <c r="B56" s="388">
        <v>2017</v>
      </c>
      <c r="C56" s="389" t="s">
        <v>158</v>
      </c>
      <c r="D56" s="390">
        <v>836.9</v>
      </c>
      <c r="E56" s="392"/>
    </row>
    <row r="57" spans="1:5" ht="15" customHeight="1">
      <c r="A57" s="243" t="str">
        <f t="shared" si="4"/>
        <v>Октябрь2017</v>
      </c>
      <c r="B57" s="388">
        <v>2017</v>
      </c>
      <c r="C57" s="389" t="s">
        <v>157</v>
      </c>
      <c r="D57" s="390">
        <v>841</v>
      </c>
      <c r="E57" s="392"/>
    </row>
    <row r="58" spans="1:5" ht="15" customHeight="1">
      <c r="A58" s="243" t="str">
        <f t="shared" si="4"/>
        <v>Сентябрь2017</v>
      </c>
      <c r="B58" s="388">
        <v>2017</v>
      </c>
      <c r="C58" s="389" t="s">
        <v>156</v>
      </c>
      <c r="D58" s="390">
        <v>831.3</v>
      </c>
      <c r="E58" s="392"/>
    </row>
    <row r="59" spans="1:5" ht="10.5">
      <c r="A59" s="243" t="str">
        <f t="shared" si="4"/>
        <v>Август2017</v>
      </c>
      <c r="B59" s="388">
        <v>2017</v>
      </c>
      <c r="C59" s="389" t="s">
        <v>155</v>
      </c>
      <c r="D59" s="390">
        <v>844.4</v>
      </c>
      <c r="E59" s="392"/>
    </row>
    <row r="60" spans="1:5" ht="10.5">
      <c r="A60" s="243" t="str">
        <f t="shared" si="4"/>
        <v>Июль2017</v>
      </c>
      <c r="B60" s="388">
        <v>2017</v>
      </c>
      <c r="C60" s="391" t="s">
        <v>154</v>
      </c>
      <c r="D60" s="390">
        <v>827.5</v>
      </c>
      <c r="E60" s="392"/>
    </row>
    <row r="61" spans="1:5" ht="10.5">
      <c r="A61" s="243" t="str">
        <f t="shared" si="4"/>
        <v>Июнь2017</v>
      </c>
      <c r="B61" s="388">
        <v>2017</v>
      </c>
      <c r="C61" s="391" t="s">
        <v>153</v>
      </c>
      <c r="D61" s="390">
        <v>819.3</v>
      </c>
      <c r="E61" s="390">
        <f>ROUND(7387447/10000,2)</f>
        <v>738.74</v>
      </c>
    </row>
    <row r="62" spans="1:5" ht="10.5">
      <c r="A62" s="243" t="str">
        <f t="shared" si="4"/>
        <v>Май2017</v>
      </c>
      <c r="B62" s="388">
        <v>2017</v>
      </c>
      <c r="C62" s="391" t="s">
        <v>152</v>
      </c>
      <c r="D62" s="390">
        <v>795.2</v>
      </c>
      <c r="E62" s="390">
        <f>ROUND(7182850/10000,2)</f>
        <v>718.29</v>
      </c>
    </row>
    <row r="63" spans="1:5" ht="10.5">
      <c r="A63" s="243" t="str">
        <f t="shared" si="4"/>
        <v>Апрель2017</v>
      </c>
      <c r="B63" s="388">
        <v>2017</v>
      </c>
      <c r="C63" s="393" t="s">
        <v>151</v>
      </c>
      <c r="D63" s="390">
        <v>776.7</v>
      </c>
      <c r="E63" s="390">
        <f>ROUND(7085990/10000,2)</f>
        <v>708.6</v>
      </c>
    </row>
    <row r="64" spans="1:5" ht="10.5">
      <c r="A64" s="243" t="str">
        <f t="shared" si="4"/>
        <v>Март2017</v>
      </c>
      <c r="B64" s="388">
        <v>2017</v>
      </c>
      <c r="C64" s="391" t="s">
        <v>150</v>
      </c>
      <c r="D64" s="390">
        <v>770.6</v>
      </c>
      <c r="E64" s="390">
        <f>ROUND(7094521/10000,2)</f>
        <v>709.45</v>
      </c>
    </row>
    <row r="65" spans="1:5" ht="10.5">
      <c r="A65" s="243" t="str">
        <f t="shared" si="4"/>
        <v>Февраль2017</v>
      </c>
      <c r="B65" s="388">
        <v>2017</v>
      </c>
      <c r="C65" s="393" t="s">
        <v>149</v>
      </c>
      <c r="D65" s="390">
        <v>716.5</v>
      </c>
      <c r="E65" s="390">
        <f>ROUND(6615737/10000,2)</f>
        <v>661.57</v>
      </c>
    </row>
    <row r="66" spans="1:5" ht="10.5">
      <c r="A66" s="243" t="str">
        <f t="shared" si="4"/>
        <v>Январь2017</v>
      </c>
      <c r="B66" s="388">
        <v>2017</v>
      </c>
      <c r="C66" s="393" t="s">
        <v>147</v>
      </c>
      <c r="D66" s="390">
        <v>720.7</v>
      </c>
      <c r="E66" s="390">
        <f>ROUND(6551585/10000,2)</f>
        <v>655.16</v>
      </c>
    </row>
    <row r="67" spans="1:5" ht="15" customHeight="1">
      <c r="A67" s="243" t="str">
        <f t="shared" si="4"/>
        <v>Декабрь2016</v>
      </c>
      <c r="B67" s="388">
        <v>2016</v>
      </c>
      <c r="C67" s="389" t="s">
        <v>148</v>
      </c>
      <c r="D67" s="390">
        <v>801.6</v>
      </c>
      <c r="E67" s="390">
        <f>ROUND(7424092/10000,2)</f>
        <v>742.41</v>
      </c>
    </row>
    <row r="68" spans="1:5" ht="15" customHeight="1">
      <c r="A68" s="243" t="str">
        <f t="shared" si="4"/>
        <v>Ноябрь2016</v>
      </c>
      <c r="B68" s="388">
        <v>2016</v>
      </c>
      <c r="C68" s="389" t="s">
        <v>158</v>
      </c>
      <c r="D68" s="390">
        <v>717.6</v>
      </c>
      <c r="E68" s="390">
        <f>ROUND(6748775/10000,2)</f>
        <v>674.88</v>
      </c>
    </row>
    <row r="69" spans="1:5" ht="15" customHeight="1">
      <c r="A69" s="243" t="str">
        <f t="shared" si="4"/>
        <v>Октябрь2016</v>
      </c>
      <c r="B69" s="388">
        <v>2016</v>
      </c>
      <c r="C69" s="389" t="s">
        <v>157</v>
      </c>
      <c r="D69" s="390">
        <v>722.9</v>
      </c>
      <c r="E69" s="390">
        <f>ROUND(6837568/10000,2)</f>
        <v>683.76</v>
      </c>
    </row>
    <row r="70" spans="1:5" ht="15" customHeight="1">
      <c r="A70" s="243" t="str">
        <f t="shared" si="4"/>
        <v>Сентябрь2016</v>
      </c>
      <c r="B70" s="388">
        <v>2016</v>
      </c>
      <c r="C70" s="389" t="s">
        <v>156</v>
      </c>
      <c r="D70" s="390">
        <v>732.9</v>
      </c>
      <c r="E70" s="390">
        <f>ROUND(6862950/10000,2)</f>
        <v>686.3</v>
      </c>
    </row>
    <row r="71" spans="1:5" ht="10.5">
      <c r="A71" s="243" t="str">
        <f t="shared" si="4"/>
        <v>Август2016</v>
      </c>
      <c r="B71" s="388">
        <v>2016</v>
      </c>
      <c r="C71" s="389" t="s">
        <v>155</v>
      </c>
      <c r="D71" s="390">
        <v>750.3</v>
      </c>
      <c r="E71" s="395">
        <f>ROUND(6970521/10000,2)</f>
        <v>697.05</v>
      </c>
    </row>
    <row r="72" spans="1:5" ht="10.5">
      <c r="A72" s="243" t="str">
        <f t="shared" si="4"/>
        <v>Июль2016</v>
      </c>
      <c r="B72" s="388">
        <v>2016</v>
      </c>
      <c r="C72" s="391" t="s">
        <v>154</v>
      </c>
      <c r="D72" s="390">
        <v>745.8</v>
      </c>
      <c r="E72" s="390">
        <f>ROUND(7008649/10000,2)</f>
        <v>700.86</v>
      </c>
    </row>
    <row r="73" spans="1:5" ht="16.5" customHeight="1">
      <c r="A73" s="243" t="str">
        <f t="shared" si="4"/>
        <v>Июнь2016</v>
      </c>
      <c r="B73" s="388">
        <v>2016</v>
      </c>
      <c r="C73" s="391" t="s">
        <v>153</v>
      </c>
      <c r="D73" s="390">
        <v>738.74</v>
      </c>
      <c r="E73" s="390">
        <f>ROUND(6883744/10000,2)</f>
        <v>688.37</v>
      </c>
    </row>
    <row r="74" spans="1:5" ht="10.5">
      <c r="A74" s="243" t="str">
        <f t="shared" si="4"/>
        <v>Май2016</v>
      </c>
      <c r="B74" s="388">
        <v>2016</v>
      </c>
      <c r="C74" s="391" t="s">
        <v>152</v>
      </c>
      <c r="D74" s="390">
        <v>718.29</v>
      </c>
      <c r="E74" s="390">
        <f>ROUND(6687564/10000,2)</f>
        <v>668.76</v>
      </c>
    </row>
    <row r="75" spans="1:5" ht="10.5">
      <c r="A75" s="243" t="str">
        <f t="shared" si="4"/>
        <v>Апрель2016</v>
      </c>
      <c r="B75" s="388">
        <v>2016</v>
      </c>
      <c r="C75" s="393" t="s">
        <v>151</v>
      </c>
      <c r="D75" s="390">
        <v>708.6</v>
      </c>
      <c r="E75" s="390">
        <f>ROUND(6536111/10000,2)</f>
        <v>653.61</v>
      </c>
    </row>
    <row r="76" spans="1:5" ht="10.5">
      <c r="A76" s="243" t="str">
        <f t="shared" si="4"/>
        <v>Март2016</v>
      </c>
      <c r="B76" s="388">
        <v>2016</v>
      </c>
      <c r="C76" s="391" t="s">
        <v>150</v>
      </c>
      <c r="D76" s="390">
        <v>709.45</v>
      </c>
      <c r="E76" s="390">
        <f>ROUND(6483703/10000,2)</f>
        <v>648.37</v>
      </c>
    </row>
    <row r="77" spans="1:5" ht="10.5">
      <c r="A77" s="243" t="str">
        <f t="shared" si="4"/>
        <v>Февраль2016</v>
      </c>
      <c r="B77" s="388">
        <v>2016</v>
      </c>
      <c r="C77" s="393" t="s">
        <v>149</v>
      </c>
      <c r="D77" s="390">
        <v>661.57</v>
      </c>
      <c r="E77" s="390">
        <f>ROUND(6129105/10000,2)</f>
        <v>612.91</v>
      </c>
    </row>
    <row r="78" spans="1:5" ht="10.5">
      <c r="A78" s="243" t="str">
        <f t="shared" si="4"/>
        <v>Январь2016</v>
      </c>
      <c r="B78" s="388">
        <v>2016</v>
      </c>
      <c r="C78" s="393" t="s">
        <v>147</v>
      </c>
      <c r="D78" s="390">
        <v>655.16</v>
      </c>
      <c r="E78" s="390">
        <f>ROUND(6023213/10000,2)</f>
        <v>602.32</v>
      </c>
    </row>
    <row r="79" spans="2:4" ht="10.5">
      <c r="B79" s="266"/>
      <c r="C79" s="517"/>
      <c r="D79" s="517"/>
    </row>
    <row r="80" spans="2:4" ht="10.5">
      <c r="B80" s="266"/>
      <c r="C80" s="266"/>
      <c r="D80" s="266"/>
    </row>
    <row r="81" spans="2:4" ht="10.5">
      <c r="B81" s="396"/>
      <c r="C81" s="396"/>
      <c r="D81" s="266"/>
    </row>
    <row r="82" spans="2:4" ht="1.5" customHeight="1">
      <c r="B82" s="396"/>
      <c r="C82" s="396"/>
      <c r="D82" s="266"/>
    </row>
    <row r="83" spans="2:8" ht="49.5" customHeight="1">
      <c r="B83" s="515" t="s">
        <v>16</v>
      </c>
      <c r="C83" s="515"/>
      <c r="D83" s="515"/>
      <c r="E83" s="267"/>
      <c r="F83" s="267"/>
      <c r="G83" s="267"/>
      <c r="H83" s="267"/>
    </row>
    <row r="84" spans="1:4" ht="10.5">
      <c r="A84" s="382"/>
      <c r="B84" s="396"/>
      <c r="C84" s="396"/>
      <c r="D84" s="266"/>
    </row>
    <row r="85" spans="2:8" ht="48" customHeight="1">
      <c r="B85" s="397" t="s">
        <v>161</v>
      </c>
      <c r="C85" s="397" t="s">
        <v>162</v>
      </c>
      <c r="D85" s="397" t="s">
        <v>163</v>
      </c>
      <c r="E85" s="387" t="s">
        <v>161</v>
      </c>
      <c r="F85" s="387" t="s">
        <v>162</v>
      </c>
      <c r="G85" s="387" t="s">
        <v>163</v>
      </c>
      <c r="H85" s="387" t="s">
        <v>164</v>
      </c>
    </row>
    <row r="86" spans="1:8" ht="12" customHeight="1">
      <c r="A86" s="243" t="str">
        <f aca="true" t="shared" si="5" ref="A86:A106">CONCATENATE(C86,B86)</f>
        <v>Ноябрь2021</v>
      </c>
      <c r="B86" s="394">
        <v>2021</v>
      </c>
      <c r="C86" s="398" t="s">
        <v>158</v>
      </c>
      <c r="D86" s="390">
        <f aca="true" t="shared" si="6" ref="D86:D94">D87</f>
        <v>262.87</v>
      </c>
      <c r="E86" s="387"/>
      <c r="F86" s="387"/>
      <c r="G86" s="387"/>
      <c r="H86" s="387"/>
    </row>
    <row r="87" spans="1:8" ht="12" customHeight="1">
      <c r="A87" s="243" t="str">
        <f t="shared" si="5"/>
        <v>Октябрь2021</v>
      </c>
      <c r="B87" s="394">
        <v>2021</v>
      </c>
      <c r="C87" s="398" t="s">
        <v>157</v>
      </c>
      <c r="D87" s="390">
        <f t="shared" si="6"/>
        <v>262.87</v>
      </c>
      <c r="E87" s="387"/>
      <c r="F87" s="387"/>
      <c r="G87" s="387"/>
      <c r="H87" s="387"/>
    </row>
    <row r="88" spans="1:8" ht="12" customHeight="1">
      <c r="A88" s="243" t="str">
        <f t="shared" si="5"/>
        <v>Сентябрь2021</v>
      </c>
      <c r="B88" s="394">
        <v>2021</v>
      </c>
      <c r="C88" s="398" t="s">
        <v>156</v>
      </c>
      <c r="D88" s="390">
        <f t="shared" si="6"/>
        <v>262.87</v>
      </c>
      <c r="E88" s="387"/>
      <c r="F88" s="387"/>
      <c r="G88" s="387"/>
      <c r="H88" s="387"/>
    </row>
    <row r="89" spans="1:8" ht="12" customHeight="1">
      <c r="A89" s="243" t="str">
        <f t="shared" si="5"/>
        <v>Август2021</v>
      </c>
      <c r="B89" s="394">
        <v>2021</v>
      </c>
      <c r="C89" s="398" t="s">
        <v>155</v>
      </c>
      <c r="D89" s="390">
        <f t="shared" si="6"/>
        <v>262.87</v>
      </c>
      <c r="E89" s="387"/>
      <c r="F89" s="387"/>
      <c r="G89" s="387"/>
      <c r="H89" s="387"/>
    </row>
    <row r="90" spans="1:8" ht="12" customHeight="1">
      <c r="A90" s="243" t="str">
        <f t="shared" si="5"/>
        <v>Июль2021</v>
      </c>
      <c r="B90" s="394">
        <v>2021</v>
      </c>
      <c r="C90" s="398" t="s">
        <v>154</v>
      </c>
      <c r="D90" s="390">
        <f t="shared" si="6"/>
        <v>262.87</v>
      </c>
      <c r="E90" s="387"/>
      <c r="F90" s="387"/>
      <c r="G90" s="387"/>
      <c r="H90" s="387"/>
    </row>
    <row r="91" spans="1:8" ht="12" customHeight="1">
      <c r="A91" s="243" t="str">
        <f t="shared" si="5"/>
        <v>Июнь2021</v>
      </c>
      <c r="B91" s="394">
        <v>2021</v>
      </c>
      <c r="C91" s="398" t="s">
        <v>153</v>
      </c>
      <c r="D91" s="390">
        <f t="shared" si="6"/>
        <v>262.87</v>
      </c>
      <c r="E91" s="387"/>
      <c r="F91" s="387"/>
      <c r="G91" s="387"/>
      <c r="H91" s="387"/>
    </row>
    <row r="92" spans="1:8" ht="12" customHeight="1">
      <c r="A92" s="243" t="str">
        <f t="shared" si="5"/>
        <v>Май2021</v>
      </c>
      <c r="B92" s="394">
        <v>2021</v>
      </c>
      <c r="C92" s="398" t="s">
        <v>152</v>
      </c>
      <c r="D92" s="390">
        <f t="shared" si="6"/>
        <v>262.87</v>
      </c>
      <c r="E92" s="387"/>
      <c r="F92" s="387"/>
      <c r="G92" s="387"/>
      <c r="H92" s="387"/>
    </row>
    <row r="93" spans="1:8" ht="12" customHeight="1">
      <c r="A93" s="243" t="str">
        <f t="shared" si="5"/>
        <v>Апрель2021</v>
      </c>
      <c r="B93" s="394">
        <v>2021</v>
      </c>
      <c r="C93" s="398" t="s">
        <v>151</v>
      </c>
      <c r="D93" s="390">
        <f t="shared" si="6"/>
        <v>262.87</v>
      </c>
      <c r="E93" s="387"/>
      <c r="F93" s="387"/>
      <c r="G93" s="387"/>
      <c r="H93" s="387"/>
    </row>
    <row r="94" spans="1:8" ht="12" customHeight="1">
      <c r="A94" s="243" t="str">
        <f t="shared" si="5"/>
        <v>Март2021</v>
      </c>
      <c r="B94" s="394">
        <v>2021</v>
      </c>
      <c r="C94" s="398" t="s">
        <v>150</v>
      </c>
      <c r="D94" s="390">
        <f t="shared" si="6"/>
        <v>262.87</v>
      </c>
      <c r="E94" s="387"/>
      <c r="F94" s="387"/>
      <c r="G94" s="387"/>
      <c r="H94" s="387"/>
    </row>
    <row r="95" spans="1:8" ht="12" customHeight="1">
      <c r="A95" s="243" t="str">
        <f t="shared" si="5"/>
        <v>Февраль2021</v>
      </c>
      <c r="B95" s="394">
        <v>2021</v>
      </c>
      <c r="C95" s="398" t="s">
        <v>149</v>
      </c>
      <c r="D95" s="390">
        <v>262.87</v>
      </c>
      <c r="E95" s="387"/>
      <c r="F95" s="387"/>
      <c r="G95" s="387"/>
      <c r="H95" s="387"/>
    </row>
    <row r="96" spans="1:8" ht="12" customHeight="1">
      <c r="A96" s="243" t="str">
        <f t="shared" si="5"/>
        <v>Январь2021</v>
      </c>
      <c r="B96" s="394">
        <v>2021</v>
      </c>
      <c r="C96" s="398" t="s">
        <v>147</v>
      </c>
      <c r="D96" s="390">
        <f aca="true" t="shared" si="7" ref="D96:D106">D97</f>
        <v>258.11</v>
      </c>
      <c r="E96" s="399"/>
      <c r="F96" s="400"/>
      <c r="G96" s="401">
        <f aca="true" t="shared" si="8" ref="G96:G106">D99</f>
        <v>256.1</v>
      </c>
      <c r="H96" s="401">
        <f aca="true" t="shared" si="9" ref="H96:H106">MAX(D96,G96)</f>
        <v>258.11</v>
      </c>
    </row>
    <row r="97" spans="1:8" ht="12" customHeight="1">
      <c r="A97" s="243" t="str">
        <f t="shared" si="5"/>
        <v>Декабрь2020</v>
      </c>
      <c r="B97" s="394">
        <v>2020</v>
      </c>
      <c r="C97" s="398" t="s">
        <v>148</v>
      </c>
      <c r="D97" s="390">
        <f t="shared" si="7"/>
        <v>258.11</v>
      </c>
      <c r="E97" s="399"/>
      <c r="F97" s="400"/>
      <c r="G97" s="401">
        <f t="shared" si="8"/>
        <v>256.1</v>
      </c>
      <c r="H97" s="401">
        <f t="shared" si="9"/>
        <v>258.11</v>
      </c>
    </row>
    <row r="98" spans="1:8" ht="12" customHeight="1">
      <c r="A98" s="243" t="str">
        <f t="shared" si="5"/>
        <v>Ноябрь2020</v>
      </c>
      <c r="B98" s="394">
        <v>2020</v>
      </c>
      <c r="C98" s="398" t="s">
        <v>158</v>
      </c>
      <c r="D98" s="390">
        <v>258.11</v>
      </c>
      <c r="E98" s="399"/>
      <c r="F98" s="400"/>
      <c r="G98" s="401">
        <f t="shared" si="8"/>
        <v>256.1</v>
      </c>
      <c r="H98" s="401">
        <f t="shared" si="9"/>
        <v>258.11</v>
      </c>
    </row>
    <row r="99" spans="1:8" ht="12" customHeight="1">
      <c r="A99" s="243" t="str">
        <f t="shared" si="5"/>
        <v>Октябрь2020</v>
      </c>
      <c r="B99" s="394">
        <v>2020</v>
      </c>
      <c r="C99" s="398" t="s">
        <v>157</v>
      </c>
      <c r="D99" s="390">
        <f t="shared" si="7"/>
        <v>256.1</v>
      </c>
      <c r="E99" s="399"/>
      <c r="F99" s="400"/>
      <c r="G99" s="401">
        <f t="shared" si="8"/>
        <v>246.78</v>
      </c>
      <c r="H99" s="401">
        <f t="shared" si="9"/>
        <v>256.1</v>
      </c>
    </row>
    <row r="100" spans="1:8" ht="12" customHeight="1">
      <c r="A100" s="243" t="str">
        <f t="shared" si="5"/>
        <v>Сентябрь2020</v>
      </c>
      <c r="B100" s="394">
        <v>2020</v>
      </c>
      <c r="C100" s="398" t="s">
        <v>156</v>
      </c>
      <c r="D100" s="390">
        <f t="shared" si="7"/>
        <v>256.1</v>
      </c>
      <c r="E100" s="399"/>
      <c r="F100" s="400"/>
      <c r="G100" s="401">
        <f t="shared" si="8"/>
        <v>246.78</v>
      </c>
      <c r="H100" s="401">
        <f t="shared" si="9"/>
        <v>256.1</v>
      </c>
    </row>
    <row r="101" spans="1:8" ht="12" customHeight="1">
      <c r="A101" s="243" t="str">
        <f t="shared" si="5"/>
        <v>Август2020</v>
      </c>
      <c r="B101" s="394">
        <v>2020</v>
      </c>
      <c r="C101" s="398" t="s">
        <v>155</v>
      </c>
      <c r="D101" s="390">
        <v>256.1</v>
      </c>
      <c r="E101" s="399"/>
      <c r="F101" s="400"/>
      <c r="G101" s="401">
        <f t="shared" si="8"/>
        <v>246.78</v>
      </c>
      <c r="H101" s="401">
        <f t="shared" si="9"/>
        <v>256.1</v>
      </c>
    </row>
    <row r="102" spans="1:8" ht="12" customHeight="1">
      <c r="A102" s="243" t="str">
        <f t="shared" si="5"/>
        <v>Июль2020</v>
      </c>
      <c r="B102" s="394">
        <v>2020</v>
      </c>
      <c r="C102" s="398" t="s">
        <v>154</v>
      </c>
      <c r="D102" s="390">
        <f t="shared" si="7"/>
        <v>246.78</v>
      </c>
      <c r="E102" s="399"/>
      <c r="F102" s="400"/>
      <c r="G102" s="401">
        <f t="shared" si="8"/>
        <v>239.87</v>
      </c>
      <c r="H102" s="401">
        <f t="shared" si="9"/>
        <v>246.78</v>
      </c>
    </row>
    <row r="103" spans="1:8" ht="12" customHeight="1">
      <c r="A103" s="243" t="str">
        <f t="shared" si="5"/>
        <v>Июнь2020</v>
      </c>
      <c r="B103" s="394">
        <v>2020</v>
      </c>
      <c r="C103" s="398" t="s">
        <v>153</v>
      </c>
      <c r="D103" s="390">
        <f t="shared" si="7"/>
        <v>246.78</v>
      </c>
      <c r="E103" s="399"/>
      <c r="F103" s="400"/>
      <c r="G103" s="401">
        <f t="shared" si="8"/>
        <v>239.87</v>
      </c>
      <c r="H103" s="401">
        <f t="shared" si="9"/>
        <v>246.78</v>
      </c>
    </row>
    <row r="104" spans="1:8" ht="12" customHeight="1">
      <c r="A104" s="243" t="str">
        <f t="shared" si="5"/>
        <v>Май2020</v>
      </c>
      <c r="B104" s="394">
        <v>2020</v>
      </c>
      <c r="C104" s="398" t="s">
        <v>152</v>
      </c>
      <c r="D104" s="390">
        <v>246.78</v>
      </c>
      <c r="E104" s="399"/>
      <c r="F104" s="400"/>
      <c r="G104" s="401">
        <f t="shared" si="8"/>
        <v>239.87</v>
      </c>
      <c r="H104" s="401">
        <f t="shared" si="9"/>
        <v>246.78</v>
      </c>
    </row>
    <row r="105" spans="1:8" ht="12" customHeight="1">
      <c r="A105" s="243" t="str">
        <f t="shared" si="5"/>
        <v>Апрель2020</v>
      </c>
      <c r="B105" s="394">
        <v>2020</v>
      </c>
      <c r="C105" s="398" t="s">
        <v>151</v>
      </c>
      <c r="D105" s="390">
        <f t="shared" si="7"/>
        <v>239.87</v>
      </c>
      <c r="E105" s="399"/>
      <c r="F105" s="400"/>
      <c r="G105" s="401">
        <f t="shared" si="8"/>
        <v>231.83</v>
      </c>
      <c r="H105" s="401">
        <f t="shared" si="9"/>
        <v>239.87</v>
      </c>
    </row>
    <row r="106" spans="1:8" ht="12" customHeight="1">
      <c r="A106" s="243" t="str">
        <f t="shared" si="5"/>
        <v>Март2020</v>
      </c>
      <c r="B106" s="394">
        <v>2020</v>
      </c>
      <c r="C106" s="398" t="s">
        <v>150</v>
      </c>
      <c r="D106" s="390">
        <f t="shared" si="7"/>
        <v>239.87</v>
      </c>
      <c r="E106" s="399"/>
      <c r="F106" s="400"/>
      <c r="G106" s="401">
        <f t="shared" si="8"/>
        <v>231.83</v>
      </c>
      <c r="H106" s="401">
        <f t="shared" si="9"/>
        <v>239.87</v>
      </c>
    </row>
    <row r="107" spans="1:8" ht="12" customHeight="1">
      <c r="A107" s="243" t="str">
        <f aca="true" t="shared" si="10" ref="A107:A148">CONCATENATE(C107,B107)</f>
        <v>Февраль2020</v>
      </c>
      <c r="B107" s="394">
        <v>2020</v>
      </c>
      <c r="C107" s="398" t="s">
        <v>149</v>
      </c>
      <c r="D107" s="390">
        <v>239.87</v>
      </c>
      <c r="E107" s="399"/>
      <c r="F107" s="400"/>
      <c r="G107" s="401">
        <f aca="true" t="shared" si="11" ref="G107:G151">D110</f>
        <v>231.83</v>
      </c>
      <c r="H107" s="401">
        <f aca="true" t="shared" si="12" ref="H107:H154">MAX(D107,G107)</f>
        <v>239.87</v>
      </c>
    </row>
    <row r="108" spans="1:8" ht="12" customHeight="1">
      <c r="A108" s="243" t="str">
        <f t="shared" si="10"/>
        <v>Январь2020</v>
      </c>
      <c r="B108" s="394">
        <v>2020</v>
      </c>
      <c r="C108" s="398" t="s">
        <v>147</v>
      </c>
      <c r="D108" s="390">
        <f aca="true" t="shared" si="13" ref="D108:D144">D109</f>
        <v>231.83</v>
      </c>
      <c r="E108" s="399"/>
      <c r="F108" s="400"/>
      <c r="G108" s="401">
        <f t="shared" si="11"/>
        <v>230.91</v>
      </c>
      <c r="H108" s="401">
        <f t="shared" si="12"/>
        <v>231.83</v>
      </c>
    </row>
    <row r="109" spans="1:8" ht="12" customHeight="1">
      <c r="A109" s="243" t="str">
        <f t="shared" si="10"/>
        <v>Декабрь2019</v>
      </c>
      <c r="B109" s="394">
        <v>2019</v>
      </c>
      <c r="C109" s="398" t="s">
        <v>148</v>
      </c>
      <c r="D109" s="390">
        <f t="shared" si="13"/>
        <v>231.83</v>
      </c>
      <c r="E109" s="399"/>
      <c r="F109" s="400"/>
      <c r="G109" s="401">
        <f t="shared" si="11"/>
        <v>230.91</v>
      </c>
      <c r="H109" s="401">
        <f t="shared" si="12"/>
        <v>231.83</v>
      </c>
    </row>
    <row r="110" spans="1:8" ht="12" customHeight="1">
      <c r="A110" s="243" t="str">
        <f t="shared" si="10"/>
        <v>Ноябрь2019</v>
      </c>
      <c r="B110" s="394">
        <v>2019</v>
      </c>
      <c r="C110" s="398" t="s">
        <v>158</v>
      </c>
      <c r="D110" s="390">
        <v>231.83</v>
      </c>
      <c r="E110" s="399"/>
      <c r="F110" s="400"/>
      <c r="G110" s="401">
        <f t="shared" si="11"/>
        <v>230.91</v>
      </c>
      <c r="H110" s="401">
        <f t="shared" si="12"/>
        <v>231.83</v>
      </c>
    </row>
    <row r="111" spans="1:8" ht="12" customHeight="1">
      <c r="A111" s="243" t="str">
        <f t="shared" si="10"/>
        <v>Октябрь2019</v>
      </c>
      <c r="B111" s="394">
        <v>2019</v>
      </c>
      <c r="C111" s="398" t="s">
        <v>157</v>
      </c>
      <c r="D111" s="390">
        <f t="shared" si="13"/>
        <v>230.91</v>
      </c>
      <c r="E111" s="399"/>
      <c r="F111" s="400"/>
      <c r="G111" s="401">
        <f t="shared" si="11"/>
        <v>224.02</v>
      </c>
      <c r="H111" s="401">
        <f t="shared" si="12"/>
        <v>230.91</v>
      </c>
    </row>
    <row r="112" spans="1:8" ht="12" customHeight="1">
      <c r="A112" s="243" t="str">
        <f t="shared" si="10"/>
        <v>Сентябрь2019</v>
      </c>
      <c r="B112" s="394">
        <v>2019</v>
      </c>
      <c r="C112" s="398" t="s">
        <v>156</v>
      </c>
      <c r="D112" s="390">
        <f>D113</f>
        <v>230.91</v>
      </c>
      <c r="E112" s="399"/>
      <c r="F112" s="400"/>
      <c r="G112" s="401">
        <f t="shared" si="11"/>
        <v>224.02</v>
      </c>
      <c r="H112" s="401">
        <f t="shared" si="12"/>
        <v>230.91</v>
      </c>
    </row>
    <row r="113" spans="1:8" ht="12" customHeight="1">
      <c r="A113" s="243" t="str">
        <f t="shared" si="10"/>
        <v>Август2019</v>
      </c>
      <c r="B113" s="394">
        <v>2019</v>
      </c>
      <c r="C113" s="398" t="s">
        <v>155</v>
      </c>
      <c r="D113" s="390">
        <v>230.91</v>
      </c>
      <c r="E113" s="399"/>
      <c r="F113" s="400"/>
      <c r="G113" s="401">
        <f t="shared" si="11"/>
        <v>224.02</v>
      </c>
      <c r="H113" s="401">
        <f t="shared" si="12"/>
        <v>230.91</v>
      </c>
    </row>
    <row r="114" spans="1:8" ht="12" customHeight="1">
      <c r="A114" s="243" t="str">
        <f t="shared" si="10"/>
        <v>Июль2019</v>
      </c>
      <c r="B114" s="394">
        <v>2019</v>
      </c>
      <c r="C114" s="398" t="s">
        <v>154</v>
      </c>
      <c r="D114" s="390">
        <f>D115</f>
        <v>224.02</v>
      </c>
      <c r="E114" s="399"/>
      <c r="F114" s="400"/>
      <c r="G114" s="401">
        <f>D117</f>
        <v>216.9</v>
      </c>
      <c r="H114" s="401">
        <f t="shared" si="12"/>
        <v>224.02</v>
      </c>
    </row>
    <row r="115" spans="1:8" ht="12" customHeight="1">
      <c r="A115" s="243" t="str">
        <f t="shared" si="10"/>
        <v>Июнь2019</v>
      </c>
      <c r="B115" s="394">
        <v>2019</v>
      </c>
      <c r="C115" s="398" t="s">
        <v>153</v>
      </c>
      <c r="D115" s="390">
        <f>D116</f>
        <v>224.02</v>
      </c>
      <c r="E115" s="399"/>
      <c r="F115" s="398"/>
      <c r="G115" s="401">
        <f t="shared" si="11"/>
        <v>216.9</v>
      </c>
      <c r="H115" s="401">
        <f t="shared" si="12"/>
        <v>224.02</v>
      </c>
    </row>
    <row r="116" spans="1:8" ht="12" customHeight="1">
      <c r="A116" s="243" t="str">
        <f t="shared" si="10"/>
        <v>Май2019</v>
      </c>
      <c r="B116" s="394">
        <v>2019</v>
      </c>
      <c r="C116" s="398" t="s">
        <v>152</v>
      </c>
      <c r="D116" s="390">
        <v>224.02</v>
      </c>
      <c r="E116" s="399">
        <v>2017</v>
      </c>
      <c r="F116" s="400" t="s">
        <v>148</v>
      </c>
      <c r="G116" s="401">
        <f t="shared" si="11"/>
        <v>216.9</v>
      </c>
      <c r="H116" s="401">
        <f t="shared" si="12"/>
        <v>224.02</v>
      </c>
    </row>
    <row r="117" spans="1:8" ht="12" customHeight="1">
      <c r="A117" s="243" t="str">
        <f t="shared" si="10"/>
        <v>Апрель2019</v>
      </c>
      <c r="B117" s="394">
        <v>2019</v>
      </c>
      <c r="C117" s="398" t="s">
        <v>151</v>
      </c>
      <c r="D117" s="390">
        <f>D118</f>
        <v>216.9</v>
      </c>
      <c r="E117" s="399">
        <v>2017</v>
      </c>
      <c r="F117" s="400" t="s">
        <v>158</v>
      </c>
      <c r="G117" s="401">
        <f t="shared" si="11"/>
        <v>214.21</v>
      </c>
      <c r="H117" s="401">
        <f t="shared" si="12"/>
        <v>216.9</v>
      </c>
    </row>
    <row r="118" spans="1:8" ht="12" customHeight="1">
      <c r="A118" s="243" t="str">
        <f t="shared" si="10"/>
        <v>Март2019</v>
      </c>
      <c r="B118" s="394">
        <v>2019</v>
      </c>
      <c r="C118" s="398" t="s">
        <v>150</v>
      </c>
      <c r="D118" s="390">
        <f>D119</f>
        <v>216.9</v>
      </c>
      <c r="E118" s="399">
        <v>2017</v>
      </c>
      <c r="F118" s="399" t="s">
        <v>157</v>
      </c>
      <c r="G118" s="401">
        <f t="shared" si="11"/>
        <v>214.21</v>
      </c>
      <c r="H118" s="401">
        <f t="shared" si="12"/>
        <v>216.9</v>
      </c>
    </row>
    <row r="119" spans="1:8" ht="12" customHeight="1">
      <c r="A119" s="243" t="str">
        <f t="shared" si="10"/>
        <v>Февраль2019</v>
      </c>
      <c r="B119" s="394">
        <v>2019</v>
      </c>
      <c r="C119" s="398" t="s">
        <v>149</v>
      </c>
      <c r="D119" s="390">
        <v>216.9</v>
      </c>
      <c r="E119" s="399">
        <v>2017</v>
      </c>
      <c r="F119" s="399" t="s">
        <v>156</v>
      </c>
      <c r="G119" s="401">
        <f>D122</f>
        <v>214.21</v>
      </c>
      <c r="H119" s="401">
        <f t="shared" si="12"/>
        <v>216.9</v>
      </c>
    </row>
    <row r="120" spans="1:8" ht="15" customHeight="1">
      <c r="A120" s="243" t="str">
        <f t="shared" si="10"/>
        <v>Январь2019</v>
      </c>
      <c r="B120" s="394">
        <v>2019</v>
      </c>
      <c r="C120" s="398" t="s">
        <v>147</v>
      </c>
      <c r="D120" s="390">
        <f>D121</f>
        <v>214.21</v>
      </c>
      <c r="E120" s="399">
        <v>2017</v>
      </c>
      <c r="F120" s="400" t="s">
        <v>155</v>
      </c>
      <c r="G120" s="401">
        <f>D123</f>
        <v>213.67</v>
      </c>
      <c r="H120" s="401">
        <f t="shared" si="12"/>
        <v>214.21</v>
      </c>
    </row>
    <row r="121" spans="1:8" ht="15" customHeight="1">
      <c r="A121" s="243" t="str">
        <f t="shared" si="10"/>
        <v>Декабрь2018</v>
      </c>
      <c r="B121" s="394">
        <v>2018</v>
      </c>
      <c r="C121" s="398" t="s">
        <v>148</v>
      </c>
      <c r="D121" s="390">
        <f t="shared" si="13"/>
        <v>214.21</v>
      </c>
      <c r="E121" s="399">
        <v>2017</v>
      </c>
      <c r="F121" s="400" t="s">
        <v>154</v>
      </c>
      <c r="G121" s="401">
        <f>D124</f>
        <v>213.67</v>
      </c>
      <c r="H121" s="401">
        <f t="shared" si="12"/>
        <v>214.21</v>
      </c>
    </row>
    <row r="122" spans="1:8" ht="15" customHeight="1">
      <c r="A122" s="243" t="str">
        <f t="shared" si="10"/>
        <v>Ноябрь2018</v>
      </c>
      <c r="B122" s="394">
        <v>2018</v>
      </c>
      <c r="C122" s="398" t="s">
        <v>158</v>
      </c>
      <c r="D122" s="390">
        <v>214.21</v>
      </c>
      <c r="E122" s="399">
        <v>2017</v>
      </c>
      <c r="F122" s="400" t="s">
        <v>153</v>
      </c>
      <c r="G122" s="401">
        <f>D125</f>
        <v>213.67</v>
      </c>
      <c r="H122" s="401">
        <f>MAX(D122,G122)</f>
        <v>214.21</v>
      </c>
    </row>
    <row r="123" spans="1:8" ht="15" customHeight="1">
      <c r="A123" s="243" t="str">
        <f t="shared" si="10"/>
        <v>Октябрь2018</v>
      </c>
      <c r="B123" s="394">
        <v>2018</v>
      </c>
      <c r="C123" s="398" t="s">
        <v>157</v>
      </c>
      <c r="D123" s="390">
        <f t="shared" si="13"/>
        <v>213.67</v>
      </c>
      <c r="E123" s="399">
        <v>2017</v>
      </c>
      <c r="F123" s="400" t="s">
        <v>152</v>
      </c>
      <c r="G123" s="401">
        <f t="shared" si="11"/>
        <v>206.58</v>
      </c>
      <c r="H123" s="401">
        <f>MAX(D123,G123)</f>
        <v>213.67</v>
      </c>
    </row>
    <row r="124" spans="1:8" ht="15" customHeight="1">
      <c r="A124" s="243" t="str">
        <f t="shared" si="10"/>
        <v>Сентябрь2018</v>
      </c>
      <c r="B124" s="394">
        <v>2018</v>
      </c>
      <c r="C124" s="398" t="s">
        <v>156</v>
      </c>
      <c r="D124" s="390">
        <f t="shared" si="13"/>
        <v>213.67</v>
      </c>
      <c r="E124" s="399">
        <v>2017</v>
      </c>
      <c r="F124" s="400" t="s">
        <v>151</v>
      </c>
      <c r="G124" s="401">
        <f t="shared" si="11"/>
        <v>206.58</v>
      </c>
      <c r="H124" s="401">
        <f>MAX(D124,G124)</f>
        <v>213.67</v>
      </c>
    </row>
    <row r="125" spans="1:8" ht="15" customHeight="1">
      <c r="A125" s="243" t="str">
        <f t="shared" si="10"/>
        <v>Август2018</v>
      </c>
      <c r="B125" s="394">
        <v>2018</v>
      </c>
      <c r="C125" s="398" t="s">
        <v>155</v>
      </c>
      <c r="D125" s="390">
        <v>213.67</v>
      </c>
      <c r="E125" s="399">
        <v>2017</v>
      </c>
      <c r="F125" s="400" t="s">
        <v>150</v>
      </c>
      <c r="G125" s="401">
        <f t="shared" si="11"/>
        <v>206.58</v>
      </c>
      <c r="H125" s="401">
        <f>MAX(D125,G125)</f>
        <v>213.67</v>
      </c>
    </row>
    <row r="126" spans="1:8" ht="15" customHeight="1">
      <c r="A126" s="243" t="str">
        <f t="shared" si="10"/>
        <v>Июль2018</v>
      </c>
      <c r="B126" s="394">
        <v>2018</v>
      </c>
      <c r="C126" s="398" t="s">
        <v>154</v>
      </c>
      <c r="D126" s="390">
        <f t="shared" si="13"/>
        <v>206.58</v>
      </c>
      <c r="E126" s="399">
        <v>2017</v>
      </c>
      <c r="F126" s="400" t="s">
        <v>149</v>
      </c>
      <c r="G126" s="401">
        <f t="shared" si="11"/>
        <v>199.32</v>
      </c>
      <c r="H126" s="401">
        <f t="shared" si="12"/>
        <v>206.58</v>
      </c>
    </row>
    <row r="127" spans="1:8" ht="15" customHeight="1">
      <c r="A127" s="243" t="str">
        <f t="shared" si="10"/>
        <v>Июнь2018</v>
      </c>
      <c r="B127" s="394">
        <v>2018</v>
      </c>
      <c r="C127" s="398" t="s">
        <v>153</v>
      </c>
      <c r="D127" s="390">
        <f t="shared" si="13"/>
        <v>206.58</v>
      </c>
      <c r="E127" s="399">
        <v>2017</v>
      </c>
      <c r="F127" s="400" t="s">
        <v>147</v>
      </c>
      <c r="G127" s="401">
        <f t="shared" si="11"/>
        <v>199.32</v>
      </c>
      <c r="H127" s="401">
        <f t="shared" si="12"/>
        <v>206.58</v>
      </c>
    </row>
    <row r="128" spans="1:8" ht="15" customHeight="1">
      <c r="A128" s="243" t="str">
        <f t="shared" si="10"/>
        <v>Май2018</v>
      </c>
      <c r="B128" s="394">
        <v>2018</v>
      </c>
      <c r="C128" s="398" t="s">
        <v>152</v>
      </c>
      <c r="D128" s="390">
        <v>206.58</v>
      </c>
      <c r="E128" s="399">
        <v>2016</v>
      </c>
      <c r="F128" s="400" t="s">
        <v>148</v>
      </c>
      <c r="G128" s="401">
        <f t="shared" si="11"/>
        <v>199.32</v>
      </c>
      <c r="H128" s="401">
        <f>MAX(D128,G128)</f>
        <v>206.58</v>
      </c>
    </row>
    <row r="129" spans="1:8" ht="15" customHeight="1">
      <c r="A129" s="243" t="str">
        <f t="shared" si="10"/>
        <v>Апрель2018</v>
      </c>
      <c r="B129" s="394">
        <v>2018</v>
      </c>
      <c r="C129" s="398" t="s">
        <v>151</v>
      </c>
      <c r="D129" s="390">
        <f t="shared" si="13"/>
        <v>199.32</v>
      </c>
      <c r="E129" s="399">
        <v>2016</v>
      </c>
      <c r="F129" s="400" t="s">
        <v>158</v>
      </c>
      <c r="G129" s="401">
        <f t="shared" si="11"/>
        <v>197.81</v>
      </c>
      <c r="H129" s="401">
        <f t="shared" si="12"/>
        <v>199.32</v>
      </c>
    </row>
    <row r="130" spans="1:8" ht="15" customHeight="1">
      <c r="A130" s="243" t="str">
        <f t="shared" si="10"/>
        <v>Март2018</v>
      </c>
      <c r="B130" s="394">
        <v>2018</v>
      </c>
      <c r="C130" s="398" t="s">
        <v>150</v>
      </c>
      <c r="D130" s="390">
        <f t="shared" si="13"/>
        <v>199.32</v>
      </c>
      <c r="E130" s="399">
        <v>2016</v>
      </c>
      <c r="F130" s="399" t="s">
        <v>157</v>
      </c>
      <c r="G130" s="401">
        <f t="shared" si="11"/>
        <v>197.81</v>
      </c>
      <c r="H130" s="401">
        <f t="shared" si="12"/>
        <v>199.32</v>
      </c>
    </row>
    <row r="131" spans="1:8" ht="15" customHeight="1">
      <c r="A131" s="243" t="str">
        <f t="shared" si="10"/>
        <v>Февраль2018</v>
      </c>
      <c r="B131" s="394">
        <v>2018</v>
      </c>
      <c r="C131" s="398" t="s">
        <v>149</v>
      </c>
      <c r="D131" s="390">
        <v>199.32</v>
      </c>
      <c r="E131" s="399">
        <v>2016</v>
      </c>
      <c r="F131" s="399" t="s">
        <v>156</v>
      </c>
      <c r="G131" s="401">
        <f t="shared" si="11"/>
        <v>197.81</v>
      </c>
      <c r="H131" s="401">
        <f t="shared" si="12"/>
        <v>199.32</v>
      </c>
    </row>
    <row r="132" spans="1:8" ht="15" customHeight="1">
      <c r="A132" s="243" t="str">
        <f t="shared" si="10"/>
        <v>Январь2018</v>
      </c>
      <c r="B132" s="394">
        <v>2018</v>
      </c>
      <c r="C132" s="398" t="s">
        <v>147</v>
      </c>
      <c r="D132" s="390">
        <f t="shared" si="13"/>
        <v>197.81</v>
      </c>
      <c r="E132" s="399">
        <v>2016</v>
      </c>
      <c r="F132" s="400" t="s">
        <v>155</v>
      </c>
      <c r="G132" s="401">
        <f t="shared" si="11"/>
        <v>197.57</v>
      </c>
      <c r="H132" s="401">
        <f t="shared" si="12"/>
        <v>197.81</v>
      </c>
    </row>
    <row r="133" spans="1:8" ht="15" customHeight="1">
      <c r="A133" s="243" t="str">
        <f t="shared" si="10"/>
        <v>Декабрь2017</v>
      </c>
      <c r="B133" s="394">
        <v>2017</v>
      </c>
      <c r="C133" s="398" t="s">
        <v>148</v>
      </c>
      <c r="D133" s="390">
        <f t="shared" si="13"/>
        <v>197.81</v>
      </c>
      <c r="E133" s="399">
        <v>2016</v>
      </c>
      <c r="F133" s="400" t="s">
        <v>154</v>
      </c>
      <c r="G133" s="401">
        <f t="shared" si="11"/>
        <v>197.57</v>
      </c>
      <c r="H133" s="401">
        <f t="shared" si="12"/>
        <v>197.81</v>
      </c>
    </row>
    <row r="134" spans="1:8" ht="15" customHeight="1">
      <c r="A134" s="243" t="str">
        <f t="shared" si="10"/>
        <v>Ноябрь2017</v>
      </c>
      <c r="B134" s="394">
        <v>2017</v>
      </c>
      <c r="C134" s="398" t="s">
        <v>158</v>
      </c>
      <c r="D134" s="390">
        <v>197.81</v>
      </c>
      <c r="E134" s="399">
        <v>2016</v>
      </c>
      <c r="F134" s="400" t="s">
        <v>153</v>
      </c>
      <c r="G134" s="401">
        <f t="shared" si="11"/>
        <v>197.57</v>
      </c>
      <c r="H134" s="401">
        <f t="shared" si="12"/>
        <v>197.81</v>
      </c>
    </row>
    <row r="135" spans="1:8" ht="15" customHeight="1">
      <c r="A135" s="243" t="str">
        <f t="shared" si="10"/>
        <v>Октябрь2017</v>
      </c>
      <c r="B135" s="394">
        <v>2017</v>
      </c>
      <c r="C135" s="398" t="s">
        <v>157</v>
      </c>
      <c r="D135" s="390">
        <f t="shared" si="13"/>
        <v>197.57</v>
      </c>
      <c r="E135" s="399">
        <v>2016</v>
      </c>
      <c r="F135" s="400" t="s">
        <v>152</v>
      </c>
      <c r="G135" s="401">
        <f t="shared" si="11"/>
        <v>183.82</v>
      </c>
      <c r="H135" s="401">
        <f t="shared" si="12"/>
        <v>197.57</v>
      </c>
    </row>
    <row r="136" spans="1:8" ht="15" customHeight="1">
      <c r="A136" s="243" t="str">
        <f t="shared" si="10"/>
        <v>Сентябрь2017</v>
      </c>
      <c r="B136" s="394">
        <v>2017</v>
      </c>
      <c r="C136" s="398" t="s">
        <v>156</v>
      </c>
      <c r="D136" s="390">
        <f t="shared" si="13"/>
        <v>197.57</v>
      </c>
      <c r="E136" s="399">
        <v>2016</v>
      </c>
      <c r="F136" s="400" t="s">
        <v>151</v>
      </c>
      <c r="G136" s="401">
        <f t="shared" si="11"/>
        <v>183.82</v>
      </c>
      <c r="H136" s="401">
        <f t="shared" si="12"/>
        <v>197.57</v>
      </c>
    </row>
    <row r="137" spans="1:8" ht="15" customHeight="1">
      <c r="A137" s="243" t="str">
        <f t="shared" si="10"/>
        <v>Август2017</v>
      </c>
      <c r="B137" s="394">
        <v>2017</v>
      </c>
      <c r="C137" s="398" t="s">
        <v>155</v>
      </c>
      <c r="D137" s="390">
        <v>197.57</v>
      </c>
      <c r="E137" s="399">
        <v>2016</v>
      </c>
      <c r="F137" s="400" t="s">
        <v>150</v>
      </c>
      <c r="G137" s="401">
        <f t="shared" si="11"/>
        <v>183.82</v>
      </c>
      <c r="H137" s="401">
        <f t="shared" si="12"/>
        <v>197.57</v>
      </c>
    </row>
    <row r="138" spans="1:8" ht="15" customHeight="1">
      <c r="A138" s="243" t="str">
        <f t="shared" si="10"/>
        <v>Июль2017</v>
      </c>
      <c r="B138" s="394">
        <v>2017</v>
      </c>
      <c r="C138" s="398" t="s">
        <v>154</v>
      </c>
      <c r="D138" s="390">
        <f t="shared" si="13"/>
        <v>183.82</v>
      </c>
      <c r="E138" s="399">
        <v>2016</v>
      </c>
      <c r="F138" s="400" t="s">
        <v>149</v>
      </c>
      <c r="G138" s="401">
        <f t="shared" si="11"/>
        <v>180.1</v>
      </c>
      <c r="H138" s="401">
        <f t="shared" si="12"/>
        <v>183.82</v>
      </c>
    </row>
    <row r="139" spans="1:8" ht="15" customHeight="1">
      <c r="A139" s="243" t="str">
        <f t="shared" si="10"/>
        <v>Июнь2017</v>
      </c>
      <c r="B139" s="394">
        <v>2017</v>
      </c>
      <c r="C139" s="398" t="s">
        <v>153</v>
      </c>
      <c r="D139" s="390">
        <f t="shared" si="13"/>
        <v>183.82</v>
      </c>
      <c r="E139" s="399">
        <v>2016</v>
      </c>
      <c r="F139" s="400" t="s">
        <v>147</v>
      </c>
      <c r="G139" s="401">
        <f t="shared" si="11"/>
        <v>180.1</v>
      </c>
      <c r="H139" s="401">
        <f t="shared" si="12"/>
        <v>183.82</v>
      </c>
    </row>
    <row r="140" spans="1:8" ht="15" customHeight="1">
      <c r="A140" s="243" t="str">
        <f t="shared" si="10"/>
        <v>Май2017</v>
      </c>
      <c r="B140" s="394">
        <v>2017</v>
      </c>
      <c r="C140" s="398" t="s">
        <v>152</v>
      </c>
      <c r="D140" s="390">
        <v>183.82</v>
      </c>
      <c r="E140" s="399">
        <v>2015</v>
      </c>
      <c r="F140" s="400" t="s">
        <v>148</v>
      </c>
      <c r="G140" s="401">
        <f t="shared" si="11"/>
        <v>180.1</v>
      </c>
      <c r="H140" s="401">
        <f t="shared" si="12"/>
        <v>183.82</v>
      </c>
    </row>
    <row r="141" spans="1:8" ht="15" customHeight="1">
      <c r="A141" s="243" t="str">
        <f t="shared" si="10"/>
        <v>Апрель2017</v>
      </c>
      <c r="B141" s="394">
        <v>2017</v>
      </c>
      <c r="C141" s="398" t="s">
        <v>151</v>
      </c>
      <c r="D141" s="390">
        <f t="shared" si="13"/>
        <v>180.1</v>
      </c>
      <c r="E141" s="399">
        <v>2015</v>
      </c>
      <c r="F141" s="400" t="s">
        <v>158</v>
      </c>
      <c r="G141" s="401">
        <f t="shared" si="11"/>
        <v>174.52</v>
      </c>
      <c r="H141" s="401">
        <f t="shared" si="12"/>
        <v>180.1</v>
      </c>
    </row>
    <row r="142" spans="1:8" ht="15" customHeight="1">
      <c r="A142" s="243" t="str">
        <f t="shared" si="10"/>
        <v>Март2017</v>
      </c>
      <c r="B142" s="394">
        <v>2017</v>
      </c>
      <c r="C142" s="398" t="s">
        <v>150</v>
      </c>
      <c r="D142" s="390">
        <f t="shared" si="13"/>
        <v>180.1</v>
      </c>
      <c r="E142" s="399">
        <v>2015</v>
      </c>
      <c r="F142" s="399" t="s">
        <v>157</v>
      </c>
      <c r="G142" s="401">
        <f t="shared" si="11"/>
        <v>174.52</v>
      </c>
      <c r="H142" s="401">
        <f t="shared" si="12"/>
        <v>180.1</v>
      </c>
    </row>
    <row r="143" spans="1:8" ht="15" customHeight="1">
      <c r="A143" s="243" t="str">
        <f t="shared" si="10"/>
        <v>Февраль2017</v>
      </c>
      <c r="B143" s="394">
        <v>2017</v>
      </c>
      <c r="C143" s="398" t="s">
        <v>149</v>
      </c>
      <c r="D143" s="390">
        <v>180.1</v>
      </c>
      <c r="E143" s="399">
        <v>2015</v>
      </c>
      <c r="F143" s="399" t="s">
        <v>156</v>
      </c>
      <c r="G143" s="401">
        <f t="shared" si="11"/>
        <v>174.52</v>
      </c>
      <c r="H143" s="401">
        <f t="shared" si="12"/>
        <v>180.1</v>
      </c>
    </row>
    <row r="144" spans="1:8" ht="15" customHeight="1">
      <c r="A144" s="243" t="str">
        <f t="shared" si="10"/>
        <v>Январь2017</v>
      </c>
      <c r="B144" s="394">
        <v>2017</v>
      </c>
      <c r="C144" s="398" t="s">
        <v>147</v>
      </c>
      <c r="D144" s="390">
        <f t="shared" si="13"/>
        <v>174.52</v>
      </c>
      <c r="E144" s="399">
        <v>2015</v>
      </c>
      <c r="F144" s="400" t="s">
        <v>155</v>
      </c>
      <c r="G144" s="401">
        <f t="shared" si="11"/>
        <v>175.5</v>
      </c>
      <c r="H144" s="401">
        <f t="shared" si="12"/>
        <v>175.5</v>
      </c>
    </row>
    <row r="145" spans="1:8" ht="15" customHeight="1">
      <c r="A145" s="243" t="str">
        <f t="shared" si="10"/>
        <v>Декабрь2016</v>
      </c>
      <c r="B145" s="394">
        <v>2016</v>
      </c>
      <c r="C145" s="398" t="s">
        <v>148</v>
      </c>
      <c r="D145" s="390">
        <f>D146</f>
        <v>174.52</v>
      </c>
      <c r="E145" s="399">
        <v>2015</v>
      </c>
      <c r="F145" s="400" t="s">
        <v>154</v>
      </c>
      <c r="G145" s="401">
        <f t="shared" si="11"/>
        <v>175.5</v>
      </c>
      <c r="H145" s="401">
        <f t="shared" si="12"/>
        <v>175.5</v>
      </c>
    </row>
    <row r="146" spans="1:8" ht="15" customHeight="1">
      <c r="A146" s="243" t="str">
        <f t="shared" si="10"/>
        <v>Ноябрь2016</v>
      </c>
      <c r="B146" s="394">
        <v>2016</v>
      </c>
      <c r="C146" s="398" t="s">
        <v>158</v>
      </c>
      <c r="D146" s="390">
        <v>174.52</v>
      </c>
      <c r="E146" s="399">
        <v>2015</v>
      </c>
      <c r="F146" s="400" t="s">
        <v>153</v>
      </c>
      <c r="G146" s="401">
        <f t="shared" si="11"/>
        <v>175.5</v>
      </c>
      <c r="H146" s="401">
        <f t="shared" si="12"/>
        <v>175.5</v>
      </c>
    </row>
    <row r="147" spans="1:8" ht="15" customHeight="1">
      <c r="A147" s="243" t="str">
        <f t="shared" si="10"/>
        <v>Октябрь2016</v>
      </c>
      <c r="B147" s="394">
        <v>2016</v>
      </c>
      <c r="C147" s="398" t="s">
        <v>157</v>
      </c>
      <c r="D147" s="390">
        <f>D148</f>
        <v>175.5</v>
      </c>
      <c r="E147" s="399">
        <v>2015</v>
      </c>
      <c r="F147" s="400" t="s">
        <v>152</v>
      </c>
      <c r="G147" s="401">
        <f t="shared" si="11"/>
        <v>169.94</v>
      </c>
      <c r="H147" s="401">
        <f t="shared" si="12"/>
        <v>175.5</v>
      </c>
    </row>
    <row r="148" spans="1:8" ht="15" customHeight="1">
      <c r="A148" s="243" t="str">
        <f t="shared" si="10"/>
        <v>Сентябрь2016</v>
      </c>
      <c r="B148" s="394">
        <v>2016</v>
      </c>
      <c r="C148" s="398" t="s">
        <v>156</v>
      </c>
      <c r="D148" s="390">
        <f>D149</f>
        <v>175.5</v>
      </c>
      <c r="E148" s="399">
        <v>2015</v>
      </c>
      <c r="F148" s="400" t="s">
        <v>151</v>
      </c>
      <c r="G148" s="401">
        <f t="shared" si="11"/>
        <v>169.94</v>
      </c>
      <c r="H148" s="401">
        <f t="shared" si="12"/>
        <v>175.5</v>
      </c>
    </row>
    <row r="149" spans="1:8" ht="15" customHeight="1">
      <c r="A149" s="243" t="str">
        <f aca="true" t="shared" si="14" ref="A149:A156">CONCATENATE(C149,B149)</f>
        <v>Август2016</v>
      </c>
      <c r="B149" s="394">
        <v>2016</v>
      </c>
      <c r="C149" s="398" t="s">
        <v>155</v>
      </c>
      <c r="D149" s="390">
        <v>175.5</v>
      </c>
      <c r="E149" s="399">
        <v>2015</v>
      </c>
      <c r="F149" s="400" t="s">
        <v>150</v>
      </c>
      <c r="G149" s="401">
        <f t="shared" si="11"/>
        <v>169.94</v>
      </c>
      <c r="H149" s="401">
        <f t="shared" si="12"/>
        <v>175.5</v>
      </c>
    </row>
    <row r="150" spans="1:8" ht="15" customHeight="1">
      <c r="A150" s="243" t="str">
        <f t="shared" si="14"/>
        <v>Июль2016</v>
      </c>
      <c r="B150" s="394">
        <v>2016</v>
      </c>
      <c r="C150" s="398" t="s">
        <v>154</v>
      </c>
      <c r="D150" s="390">
        <v>169.94</v>
      </c>
      <c r="E150" s="399">
        <v>2015</v>
      </c>
      <c r="F150" s="400" t="s">
        <v>149</v>
      </c>
      <c r="G150" s="401">
        <f t="shared" si="11"/>
        <v>164</v>
      </c>
      <c r="H150" s="401">
        <f t="shared" si="12"/>
        <v>169.94</v>
      </c>
    </row>
    <row r="151" spans="1:8" ht="15" customHeight="1">
      <c r="A151" s="243" t="str">
        <f t="shared" si="14"/>
        <v>Июнь2016</v>
      </c>
      <c r="B151" s="394">
        <v>2016</v>
      </c>
      <c r="C151" s="398" t="s">
        <v>153</v>
      </c>
      <c r="D151" s="390">
        <f>D152</f>
        <v>169.94</v>
      </c>
      <c r="E151" s="399">
        <v>2015</v>
      </c>
      <c r="F151" s="400" t="s">
        <v>147</v>
      </c>
      <c r="G151" s="401">
        <f t="shared" si="11"/>
        <v>164</v>
      </c>
      <c r="H151" s="401">
        <f t="shared" si="12"/>
        <v>169.94</v>
      </c>
    </row>
    <row r="152" spans="1:8" ht="15" customHeight="1">
      <c r="A152" s="243" t="str">
        <f t="shared" si="14"/>
        <v>Май2016</v>
      </c>
      <c r="B152" s="394">
        <v>2016</v>
      </c>
      <c r="C152" s="398" t="s">
        <v>152</v>
      </c>
      <c r="D152" s="390">
        <v>169.94</v>
      </c>
      <c r="E152" s="399">
        <v>2014</v>
      </c>
      <c r="F152" s="400" t="s">
        <v>148</v>
      </c>
      <c r="G152" s="401">
        <v>139.6</v>
      </c>
      <c r="H152" s="401">
        <f t="shared" si="12"/>
        <v>169.94</v>
      </c>
    </row>
    <row r="153" spans="1:8" ht="15" customHeight="1">
      <c r="A153" s="243" t="str">
        <f t="shared" si="14"/>
        <v>Апрель2016</v>
      </c>
      <c r="B153" s="394">
        <v>2016</v>
      </c>
      <c r="C153" s="398" t="s">
        <v>151</v>
      </c>
      <c r="D153" s="390">
        <f>D154</f>
        <v>164</v>
      </c>
      <c r="E153" s="399">
        <v>2014</v>
      </c>
      <c r="F153" s="400" t="s">
        <v>158</v>
      </c>
      <c r="G153" s="401">
        <v>139.6</v>
      </c>
      <c r="H153" s="401">
        <f t="shared" si="12"/>
        <v>164</v>
      </c>
    </row>
    <row r="154" spans="1:8" ht="15" customHeight="1">
      <c r="A154" s="243" t="str">
        <f t="shared" si="14"/>
        <v>Март2016</v>
      </c>
      <c r="B154" s="394">
        <v>2016</v>
      </c>
      <c r="C154" s="398" t="s">
        <v>150</v>
      </c>
      <c r="D154" s="390">
        <v>164</v>
      </c>
      <c r="E154" s="243">
        <v>2014</v>
      </c>
      <c r="F154" s="268" t="s">
        <v>157</v>
      </c>
      <c r="G154" s="401">
        <v>134.34</v>
      </c>
      <c r="H154" s="401">
        <f t="shared" si="12"/>
        <v>164</v>
      </c>
    </row>
    <row r="155" spans="1:4" ht="10.5">
      <c r="A155" s="243" t="str">
        <f t="shared" si="14"/>
        <v>Февраль2016</v>
      </c>
      <c r="B155" s="394">
        <v>2016</v>
      </c>
      <c r="C155" s="398" t="s">
        <v>149</v>
      </c>
      <c r="D155" s="402">
        <v>159.13</v>
      </c>
    </row>
    <row r="156" spans="1:4" ht="10.5">
      <c r="A156" s="243" t="str">
        <f t="shared" si="14"/>
        <v>Январь2016</v>
      </c>
      <c r="B156" s="394">
        <v>2016</v>
      </c>
      <c r="C156" s="398" t="s">
        <v>147</v>
      </c>
      <c r="D156" s="395">
        <v>156.78</v>
      </c>
    </row>
  </sheetData>
  <sheetProtection/>
  <mergeCells count="3">
    <mergeCell ref="B83:D83"/>
    <mergeCell ref="B2:D2"/>
    <mergeCell ref="C79:D79"/>
  </mergeCells>
  <printOptions/>
  <pageMargins left="0.75" right="0.75" top="1" bottom="1" header="0.5" footer="0.5"/>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7.xml><?xml version="1.0" encoding="utf-8"?>
<worksheet xmlns="http://schemas.openxmlformats.org/spreadsheetml/2006/main" xmlns:r="http://schemas.openxmlformats.org/officeDocument/2006/relationships">
  <dimension ref="A1:E25"/>
  <sheetViews>
    <sheetView zoomScalePageLayoutView="0" workbookViewId="0" topLeftCell="A1">
      <selection activeCell="A1" sqref="A1"/>
    </sheetView>
  </sheetViews>
  <sheetFormatPr defaultColWidth="9.00390625" defaultRowHeight="12.75"/>
  <cols>
    <col min="1" max="1" width="9.125" style="182" customWidth="1"/>
    <col min="2" max="2" width="85.75390625" style="182" customWidth="1"/>
    <col min="3" max="3" width="16.75390625" style="182" customWidth="1"/>
    <col min="4" max="4" width="12.375" style="182" customWidth="1"/>
    <col min="5" max="5" width="4.25390625" style="182" customWidth="1"/>
    <col min="6" max="16384" width="9.125" style="182" customWidth="1"/>
  </cols>
  <sheetData>
    <row r="1" spans="1:5" ht="10.5">
      <c r="A1" s="355"/>
      <c r="B1" s="356"/>
      <c r="C1" s="356"/>
      <c r="D1" s="356"/>
      <c r="E1" s="356"/>
    </row>
    <row r="2" spans="1:5" ht="10.5">
      <c r="A2" s="253">
        <v>2011</v>
      </c>
      <c r="B2" s="251" t="s">
        <v>119</v>
      </c>
      <c r="C2" s="356" t="s">
        <v>130</v>
      </c>
      <c r="D2" s="356"/>
      <c r="E2" s="356">
        <v>1</v>
      </c>
    </row>
    <row r="3" spans="1:5" ht="10.5">
      <c r="A3" s="253">
        <v>2012</v>
      </c>
      <c r="B3" s="251" t="s">
        <v>131</v>
      </c>
      <c r="C3" s="355" t="s">
        <v>132</v>
      </c>
      <c r="D3" s="355">
        <v>0.5</v>
      </c>
      <c r="E3" s="356">
        <v>2</v>
      </c>
    </row>
    <row r="4" spans="1:5" ht="10.5">
      <c r="A4" s="253">
        <v>2013</v>
      </c>
      <c r="B4" s="251" t="s">
        <v>133</v>
      </c>
      <c r="C4" s="355" t="s">
        <v>132</v>
      </c>
      <c r="D4" s="355">
        <v>0.5</v>
      </c>
      <c r="E4" s="356">
        <v>3</v>
      </c>
    </row>
    <row r="5" spans="1:5" ht="10.5">
      <c r="A5" s="253">
        <v>2014</v>
      </c>
      <c r="B5" s="251" t="s">
        <v>134</v>
      </c>
      <c r="C5" s="356" t="s">
        <v>130</v>
      </c>
      <c r="D5" s="355">
        <v>0</v>
      </c>
      <c r="E5" s="356">
        <v>4</v>
      </c>
    </row>
    <row r="6" spans="1:5" ht="10.5">
      <c r="A6" s="253">
        <v>2015</v>
      </c>
      <c r="B6" s="251" t="s">
        <v>135</v>
      </c>
      <c r="C6" s="355" t="s">
        <v>132</v>
      </c>
      <c r="D6" s="355">
        <v>0.5</v>
      </c>
      <c r="E6" s="356">
        <v>5</v>
      </c>
    </row>
    <row r="7" spans="1:5" ht="10.5">
      <c r="A7" s="253">
        <v>2016</v>
      </c>
      <c r="B7" s="253" t="s">
        <v>136</v>
      </c>
      <c r="C7" s="356" t="s">
        <v>126</v>
      </c>
      <c r="D7" s="355">
        <v>1</v>
      </c>
      <c r="E7" s="356">
        <v>6</v>
      </c>
    </row>
    <row r="8" spans="1:5" ht="10.5">
      <c r="A8" s="253"/>
      <c r="B8" s="253" t="s">
        <v>137</v>
      </c>
      <c r="C8" s="356" t="s">
        <v>130</v>
      </c>
      <c r="D8" s="355">
        <v>0</v>
      </c>
      <c r="E8" s="356">
        <v>7</v>
      </c>
    </row>
    <row r="9" spans="1:5" ht="10.5">
      <c r="A9" s="253">
        <v>2017</v>
      </c>
      <c r="B9" s="251" t="s">
        <v>138</v>
      </c>
      <c r="C9" s="356" t="s">
        <v>126</v>
      </c>
      <c r="D9" s="355">
        <v>1</v>
      </c>
      <c r="E9" s="356">
        <v>8</v>
      </c>
    </row>
    <row r="10" spans="1:5" ht="10.5">
      <c r="A10" s="253">
        <v>2018</v>
      </c>
      <c r="B10" s="253" t="s">
        <v>139</v>
      </c>
      <c r="C10" s="356" t="s">
        <v>126</v>
      </c>
      <c r="D10" s="355">
        <v>1</v>
      </c>
      <c r="E10" s="356">
        <v>9</v>
      </c>
    </row>
    <row r="11" spans="1:5" ht="10.5">
      <c r="A11" s="253">
        <v>2019</v>
      </c>
      <c r="B11" s="253" t="s">
        <v>140</v>
      </c>
      <c r="C11" s="356" t="s">
        <v>126</v>
      </c>
      <c r="D11" s="355">
        <v>1</v>
      </c>
      <c r="E11" s="356">
        <v>10</v>
      </c>
    </row>
    <row r="12" spans="1:5" ht="10.5">
      <c r="A12" s="253">
        <v>2020</v>
      </c>
      <c r="B12" s="253" t="s">
        <v>141</v>
      </c>
      <c r="C12" s="356" t="s">
        <v>130</v>
      </c>
      <c r="D12" s="355">
        <v>0</v>
      </c>
      <c r="E12" s="356">
        <v>11</v>
      </c>
    </row>
    <row r="13" spans="1:5" ht="10.5">
      <c r="A13" s="253"/>
      <c r="B13" s="254" t="s">
        <v>142</v>
      </c>
      <c r="C13" s="356"/>
      <c r="D13" s="355">
        <v>0</v>
      </c>
      <c r="E13" s="356">
        <v>12</v>
      </c>
    </row>
    <row r="14" spans="1:5" ht="10.5">
      <c r="A14" s="253"/>
      <c r="B14" s="253"/>
      <c r="C14" s="356"/>
      <c r="D14" s="355">
        <v>0</v>
      </c>
      <c r="E14" s="356"/>
    </row>
    <row r="15" spans="1:5" ht="10.5">
      <c r="A15" s="357"/>
      <c r="B15" s="357"/>
      <c r="C15" s="357"/>
      <c r="D15" s="357"/>
      <c r="E15" s="357"/>
    </row>
    <row r="16" spans="1:5" ht="10.5">
      <c r="A16" s="357"/>
      <c r="B16" s="357"/>
      <c r="C16" s="357"/>
      <c r="D16" s="357"/>
      <c r="E16" s="357"/>
    </row>
    <row r="17" spans="1:5" ht="10.5">
      <c r="A17" s="357"/>
      <c r="B17" s="357"/>
      <c r="C17" s="357"/>
      <c r="D17" s="357"/>
      <c r="E17" s="357"/>
    </row>
    <row r="18" spans="1:5" ht="10.5">
      <c r="A18" s="357"/>
      <c r="B18" s="357"/>
      <c r="C18" s="357"/>
      <c r="D18" s="357"/>
      <c r="E18" s="357"/>
    </row>
    <row r="19" spans="1:5" ht="10.5">
      <c r="A19" s="357"/>
      <c r="B19" s="356" t="s">
        <v>121</v>
      </c>
      <c r="C19" s="356">
        <v>1</v>
      </c>
      <c r="D19" s="358">
        <f>'Исходные данные'!$I$20</f>
        <v>0</v>
      </c>
      <c r="E19" s="357"/>
    </row>
    <row r="20" spans="1:5" ht="10.5">
      <c r="A20" s="357"/>
      <c r="B20" s="356" t="s">
        <v>143</v>
      </c>
      <c r="C20" s="356">
        <v>2</v>
      </c>
      <c r="D20" s="359">
        <f>'Пособие по временной нетрудосп.'!$J$100</f>
        <v>29.33</v>
      </c>
      <c r="E20" s="357"/>
    </row>
    <row r="21" spans="1:5" ht="10.5">
      <c r="A21" s="357"/>
      <c r="B21" s="356" t="s">
        <v>144</v>
      </c>
      <c r="C21" s="356">
        <v>3</v>
      </c>
      <c r="D21" s="358">
        <f>'Исходные данные'!$I$20</f>
        <v>0</v>
      </c>
      <c r="E21" s="357"/>
    </row>
    <row r="22" spans="1:5" ht="10.5">
      <c r="A22" s="357"/>
      <c r="B22" s="356" t="s">
        <v>145</v>
      </c>
      <c r="C22" s="356">
        <v>4</v>
      </c>
      <c r="D22" s="360"/>
      <c r="E22" s="357"/>
    </row>
    <row r="23" spans="1:5" ht="10.5">
      <c r="A23" s="357"/>
      <c r="B23" s="357"/>
      <c r="C23" s="357"/>
      <c r="D23" s="357"/>
      <c r="E23" s="357"/>
    </row>
    <row r="24" spans="1:5" ht="10.5">
      <c r="A24" s="357"/>
      <c r="B24" s="356" t="s">
        <v>122</v>
      </c>
      <c r="C24" s="356"/>
      <c r="D24" s="356"/>
      <c r="E24" s="357"/>
    </row>
    <row r="25" spans="1:5" ht="10.5">
      <c r="A25" s="357"/>
      <c r="B25" s="356" t="s">
        <v>123</v>
      </c>
      <c r="C25" s="356"/>
      <c r="D25" s="356"/>
      <c r="E25" s="357"/>
    </row>
  </sheetData>
  <sheetProtection/>
  <printOptions/>
  <pageMargins left="0.75" right="0.75" top="1" bottom="1" header="0.5" footer="0.5"/>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8.xml><?xml version="1.0" encoding="utf-8"?>
<worksheet xmlns="http://schemas.openxmlformats.org/spreadsheetml/2006/main" xmlns:r="http://schemas.openxmlformats.org/officeDocument/2006/relationships">
  <dimension ref="B3:U72"/>
  <sheetViews>
    <sheetView zoomScalePageLayoutView="0" workbookViewId="0" topLeftCell="A1">
      <selection activeCell="A1" sqref="A1"/>
    </sheetView>
  </sheetViews>
  <sheetFormatPr defaultColWidth="9.00390625" defaultRowHeight="12.75"/>
  <cols>
    <col min="1" max="1" width="9.125" style="361" customWidth="1"/>
    <col min="2" max="2" width="6.25390625" style="361" customWidth="1"/>
    <col min="3" max="3" width="9.125" style="361" customWidth="1"/>
    <col min="4" max="4" width="6.625" style="361" customWidth="1"/>
    <col min="5" max="5" width="9.125" style="361" customWidth="1"/>
    <col min="6" max="6" width="13.625" style="361" customWidth="1"/>
    <col min="7" max="8" width="10.75390625" style="361" customWidth="1"/>
    <col min="9" max="9" width="17.125" style="361" customWidth="1"/>
    <col min="10" max="10" width="15.75390625" style="361" customWidth="1"/>
    <col min="11" max="11" width="10.125" style="361" bestFit="1" customWidth="1"/>
    <col min="12" max="12" width="11.625" style="361" customWidth="1"/>
    <col min="13" max="13" width="10.125" style="361" bestFit="1" customWidth="1"/>
    <col min="14" max="14" width="11.75390625" style="361" customWidth="1"/>
    <col min="15" max="17" width="10.125" style="361" bestFit="1" customWidth="1"/>
    <col min="18" max="18" width="9.75390625" style="365" customWidth="1"/>
    <col min="19" max="22" width="9.125" style="365" customWidth="1"/>
    <col min="23" max="25" width="9.125" style="361" customWidth="1"/>
    <col min="26" max="16384" width="9.125" style="366" customWidth="1"/>
  </cols>
  <sheetData>
    <row r="3" spans="2:10" ht="15">
      <c r="B3" s="243">
        <v>1</v>
      </c>
      <c r="C3" s="243" t="s">
        <v>147</v>
      </c>
      <c r="D3" s="243">
        <v>31</v>
      </c>
      <c r="E3" s="353" t="s">
        <v>148</v>
      </c>
      <c r="F3" s="353" t="str">
        <f>информация!A78</f>
        <v>Январь2016</v>
      </c>
      <c r="G3" s="362">
        <f>информация!D78</f>
        <v>655.16</v>
      </c>
      <c r="H3" s="363">
        <v>2013</v>
      </c>
      <c r="I3" s="364">
        <f>IF('Исходные данные'!$U$24="нет",'Исходные данные'!$T$26,'Исходные данные'!$T$28)</f>
        <v>44109</v>
      </c>
      <c r="J3" s="364">
        <f>IF('Исходные данные'!$U$24="нет",'Исходные данные'!$V$26,'Исходные данные'!$V$28)</f>
        <v>44234</v>
      </c>
    </row>
    <row r="4" spans="2:21" ht="15">
      <c r="B4" s="243">
        <v>2</v>
      </c>
      <c r="C4" s="243" t="s">
        <v>149</v>
      </c>
      <c r="D4" s="243">
        <v>28</v>
      </c>
      <c r="E4" s="353" t="s">
        <v>147</v>
      </c>
      <c r="F4" s="353" t="str">
        <f>информация!A77</f>
        <v>Февраль2016</v>
      </c>
      <c r="G4" s="362">
        <f>информация!D77</f>
        <v>661.57</v>
      </c>
      <c r="H4" s="363">
        <v>2014</v>
      </c>
      <c r="I4" s="364">
        <f>I3</f>
        <v>44109</v>
      </c>
      <c r="J4" s="364">
        <f>DATE(YEAR(I3),MONTH(I3),I5)</f>
        <v>44135</v>
      </c>
      <c r="K4" s="364">
        <f>J4+1</f>
        <v>44136</v>
      </c>
      <c r="L4" s="364">
        <f>DATE(YEAR(K4),MONTH(K4),K5)</f>
        <v>44165</v>
      </c>
      <c r="M4" s="364">
        <f>L4+1</f>
        <v>44166</v>
      </c>
      <c r="N4" s="364">
        <f>DATE(YEAR(M4),MONTH(M4),M5)</f>
        <v>44196</v>
      </c>
      <c r="O4" s="364">
        <f>N4+1</f>
        <v>44197</v>
      </c>
      <c r="P4" s="364">
        <f>DATE(YEAR(O4),MONTH(O4),O5)</f>
        <v>44227</v>
      </c>
      <c r="Q4" s="364">
        <f>P4+1</f>
        <v>44228</v>
      </c>
      <c r="R4" s="367">
        <f>DATE(YEAR(Q4),MONTH(Q4),Q5)</f>
        <v>44255</v>
      </c>
      <c r="S4" s="367">
        <f>R4+1</f>
        <v>44256</v>
      </c>
      <c r="T4" s="367">
        <f>DATE(YEAR(S4),MONTH(S4),S5)</f>
        <v>44286</v>
      </c>
      <c r="U4" s="367">
        <f>T4+1</f>
        <v>44287</v>
      </c>
    </row>
    <row r="5" spans="2:21" ht="15">
      <c r="B5" s="243">
        <v>3</v>
      </c>
      <c r="C5" s="243" t="s">
        <v>150</v>
      </c>
      <c r="D5" s="243">
        <v>31</v>
      </c>
      <c r="E5" s="353" t="s">
        <v>149</v>
      </c>
      <c r="F5" s="353" t="str">
        <f>информация!A76</f>
        <v>Март2016</v>
      </c>
      <c r="G5" s="362">
        <f>информация!D76</f>
        <v>709.45</v>
      </c>
      <c r="H5" s="361">
        <v>2015</v>
      </c>
      <c r="I5" s="363">
        <f>36-DAY(DAY((I4)+36-DAY(I4)))</f>
        <v>31</v>
      </c>
      <c r="K5" s="363">
        <f>36-DAY(DAY((K4)+36-DAY(K4)))</f>
        <v>30</v>
      </c>
      <c r="M5" s="363">
        <f>36-DAY(DAY((M4)+36-DAY(M4)))</f>
        <v>31</v>
      </c>
      <c r="O5" s="363">
        <f>36-DAY(DAY((O4)+36-DAY(O4)))</f>
        <v>31</v>
      </c>
      <c r="Q5" s="363">
        <f>36-DAY(DAY((Q4)+36-DAY(Q4)))</f>
        <v>28</v>
      </c>
      <c r="S5" s="368">
        <f>36-DAY(DAY((S4)+36-DAY(S4)))</f>
        <v>31</v>
      </c>
      <c r="U5" s="368">
        <f>36-DAY(DAY((U4)+36-DAY(U4)))</f>
        <v>30</v>
      </c>
    </row>
    <row r="6" spans="2:20" ht="15">
      <c r="B6" s="243">
        <v>4</v>
      </c>
      <c r="C6" s="243" t="s">
        <v>151</v>
      </c>
      <c r="D6" s="243">
        <v>30</v>
      </c>
      <c r="E6" s="353" t="s">
        <v>150</v>
      </c>
      <c r="F6" s="353" t="str">
        <f>информация!A75</f>
        <v>Апрель2016</v>
      </c>
      <c r="G6" s="362">
        <f>информация!D75</f>
        <v>708.6</v>
      </c>
      <c r="H6" s="363">
        <v>2016</v>
      </c>
      <c r="I6" s="364">
        <f>I3</f>
        <v>44109</v>
      </c>
      <c r="J6" s="364">
        <f>IF($J$3&gt;J4,J4,$J$3)</f>
        <v>44135</v>
      </c>
      <c r="K6" s="364"/>
      <c r="L6" s="364">
        <f>IF($J$3&gt;L4,L4,$J$3)</f>
        <v>44165</v>
      </c>
      <c r="M6" s="364"/>
      <c r="N6" s="364">
        <f>IF($J$3&gt;N4,N4,$J$3)</f>
        <v>44196</v>
      </c>
      <c r="O6" s="364"/>
      <c r="P6" s="364">
        <f>IF($J$3&gt;P4,P4,$J$3)</f>
        <v>44227</v>
      </c>
      <c r="R6" s="367">
        <f>IF($J$3&gt;R4,R4,$J$3)</f>
        <v>44234</v>
      </c>
      <c r="T6" s="367">
        <f>IF($J$3&gt;T4,T4,$J$3)</f>
        <v>44234</v>
      </c>
    </row>
    <row r="7" spans="2:20" ht="15">
      <c r="B7" s="243">
        <v>5</v>
      </c>
      <c r="C7" s="243" t="s">
        <v>152</v>
      </c>
      <c r="D7" s="243">
        <v>31</v>
      </c>
      <c r="E7" s="353" t="s">
        <v>151</v>
      </c>
      <c r="F7" s="353" t="str">
        <f>информация!A74</f>
        <v>Май2016</v>
      </c>
      <c r="G7" s="362">
        <f>информация!D74</f>
        <v>718.29</v>
      </c>
      <c r="H7" s="363">
        <v>2017</v>
      </c>
      <c r="J7" s="363">
        <f>J6-I6+1</f>
        <v>27</v>
      </c>
      <c r="K7" s="363"/>
      <c r="L7" s="363">
        <f>L6-J6</f>
        <v>30</v>
      </c>
      <c r="M7" s="363"/>
      <c r="N7" s="363">
        <f>N6-L6</f>
        <v>31</v>
      </c>
      <c r="O7" s="363"/>
      <c r="P7" s="363">
        <f>P6-N6</f>
        <v>31</v>
      </c>
      <c r="R7" s="363">
        <f>R6-P6</f>
        <v>7</v>
      </c>
      <c r="T7" s="363">
        <f>T6-R6</f>
        <v>0</v>
      </c>
    </row>
    <row r="8" spans="2:15" ht="15">
      <c r="B8" s="243">
        <v>6</v>
      </c>
      <c r="C8" s="243" t="s">
        <v>153</v>
      </c>
      <c r="D8" s="243">
        <v>30</v>
      </c>
      <c r="E8" s="353" t="s">
        <v>152</v>
      </c>
      <c r="F8" s="353" t="str">
        <f>информация!A73</f>
        <v>Июнь2016</v>
      </c>
      <c r="G8" s="362">
        <f>информация!D73</f>
        <v>738.74</v>
      </c>
      <c r="H8" s="363">
        <v>2018</v>
      </c>
      <c r="I8" s="364">
        <f>IF('Исходные данные'!$U$24="да",'Исходные данные'!$T$30,0)</f>
        <v>0</v>
      </c>
      <c r="J8" s="364">
        <f>IF('Исходные данные'!$U$24="да",'Исходные данные'!$V$30,0)</f>
        <v>0</v>
      </c>
      <c r="K8" s="364"/>
      <c r="L8" s="364"/>
      <c r="M8" s="364"/>
      <c r="N8" s="364"/>
      <c r="O8" s="364"/>
    </row>
    <row r="9" spans="2:21" ht="15">
      <c r="B9" s="243">
        <v>7</v>
      </c>
      <c r="C9" s="243" t="s">
        <v>154</v>
      </c>
      <c r="D9" s="243">
        <v>31</v>
      </c>
      <c r="E9" s="353" t="s">
        <v>153</v>
      </c>
      <c r="F9" s="353" t="str">
        <f>информация!A72</f>
        <v>Июль2016</v>
      </c>
      <c r="G9" s="362">
        <f>информация!D72</f>
        <v>745.8</v>
      </c>
      <c r="H9" s="363">
        <v>2019</v>
      </c>
      <c r="I9" s="364">
        <f>I8</f>
        <v>0</v>
      </c>
      <c r="J9" s="364">
        <f>DATE(YEAR(I8),MONTH(I8),I10)</f>
        <v>31</v>
      </c>
      <c r="K9" s="364">
        <f>J9+1</f>
        <v>32</v>
      </c>
      <c r="L9" s="364">
        <f>DATE(YEAR(K9),MONTH(K9),K10)</f>
        <v>60</v>
      </c>
      <c r="M9" s="364">
        <f>L9+1</f>
        <v>61</v>
      </c>
      <c r="N9" s="364">
        <f>DATE(YEAR(M9),MONTH(M9),M10)</f>
        <v>91</v>
      </c>
      <c r="O9" s="364">
        <f>N9+1</f>
        <v>92</v>
      </c>
      <c r="P9" s="364">
        <f>DATE(YEAR(O9),MONTH(O9),O10)</f>
        <v>121</v>
      </c>
      <c r="Q9" s="364">
        <f>P9+1</f>
        <v>122</v>
      </c>
      <c r="R9" s="367">
        <f>DATE(YEAR(Q9),MONTH(Q9),Q10)</f>
        <v>152</v>
      </c>
      <c r="S9" s="367">
        <f>R9+1</f>
        <v>153</v>
      </c>
      <c r="T9" s="367">
        <f>DATE(YEAR(S9),MONTH(S9),S10)</f>
        <v>182</v>
      </c>
      <c r="U9" s="367">
        <f>T9+1</f>
        <v>183</v>
      </c>
    </row>
    <row r="10" spans="2:21" ht="15">
      <c r="B10" s="243">
        <v>8</v>
      </c>
      <c r="C10" s="243" t="s">
        <v>155</v>
      </c>
      <c r="D10" s="243">
        <v>31</v>
      </c>
      <c r="E10" s="353" t="s">
        <v>154</v>
      </c>
      <c r="F10" s="353" t="str">
        <f>информация!A71</f>
        <v>Август2016</v>
      </c>
      <c r="G10" s="362">
        <f>информация!D71</f>
        <v>750.3</v>
      </c>
      <c r="H10" s="361">
        <v>2020</v>
      </c>
      <c r="I10" s="363">
        <f>36-DAY(DAY((I9)+36-DAY(I9)))</f>
        <v>31</v>
      </c>
      <c r="K10" s="363">
        <f>36-DAY(DAY((K9)+36-DAY(K9)))</f>
        <v>29</v>
      </c>
      <c r="M10" s="363">
        <f>36-DAY(DAY((M9)+36-DAY(M9)))</f>
        <v>31</v>
      </c>
      <c r="O10" s="363">
        <f>36-DAY(DAY((O9)+36-DAY(O9)))</f>
        <v>30</v>
      </c>
      <c r="Q10" s="363">
        <f>36-DAY(DAY((Q9)+36-DAY(Q9)))</f>
        <v>31</v>
      </c>
      <c r="R10" s="361"/>
      <c r="S10" s="363">
        <f>36-DAY(DAY((S9)+36-DAY(S9)))</f>
        <v>30</v>
      </c>
      <c r="T10" s="361"/>
      <c r="U10" s="363">
        <f>36-DAY(DAY((U9)+36-DAY(U9)))</f>
        <v>31</v>
      </c>
    </row>
    <row r="11" spans="2:20" ht="15">
      <c r="B11" s="243">
        <v>9</v>
      </c>
      <c r="C11" s="243" t="s">
        <v>156</v>
      </c>
      <c r="D11" s="243">
        <v>30</v>
      </c>
      <c r="E11" s="353" t="s">
        <v>155</v>
      </c>
      <c r="F11" s="353" t="str">
        <f>информация!A70</f>
        <v>Сентябрь2016</v>
      </c>
      <c r="G11" s="362">
        <f>информация!D70</f>
        <v>732.9</v>
      </c>
      <c r="I11" s="364">
        <f>I8</f>
        <v>0</v>
      </c>
      <c r="J11" s="364">
        <f>IF($J$8&gt;J9,J9,$J$8)</f>
        <v>0</v>
      </c>
      <c r="K11" s="364"/>
      <c r="L11" s="364">
        <f>IF($J$8&gt;L9,L9,$J$8)</f>
        <v>0</v>
      </c>
      <c r="M11" s="364"/>
      <c r="N11" s="364">
        <f>IF($J$8&gt;N9,N9,$J$8)</f>
        <v>0</v>
      </c>
      <c r="O11" s="364"/>
      <c r="P11" s="364">
        <f>IF($J$8&gt;P9,P9,$J$8)</f>
        <v>0</v>
      </c>
      <c r="R11" s="367">
        <f>IF($J$8&gt;R9,R9,$J$8)</f>
        <v>0</v>
      </c>
      <c r="T11" s="367">
        <f>IF($J$8&gt;T9,T9,$J$8)</f>
        <v>0</v>
      </c>
    </row>
    <row r="12" spans="2:20" ht="15">
      <c r="B12" s="243">
        <v>10</v>
      </c>
      <c r="C12" s="243" t="s">
        <v>157</v>
      </c>
      <c r="D12" s="243">
        <v>31</v>
      </c>
      <c r="E12" s="353" t="s">
        <v>156</v>
      </c>
      <c r="F12" s="353" t="str">
        <f>информация!A69</f>
        <v>Октябрь2016</v>
      </c>
      <c r="G12" s="362">
        <f>информация!D69</f>
        <v>722.9</v>
      </c>
      <c r="J12" s="363">
        <f>J11-I11+1</f>
        <v>1</v>
      </c>
      <c r="K12" s="363"/>
      <c r="L12" s="363">
        <f>L11-J11</f>
        <v>0</v>
      </c>
      <c r="M12" s="363"/>
      <c r="N12" s="363">
        <f>N11-L11</f>
        <v>0</v>
      </c>
      <c r="O12" s="363"/>
      <c r="P12" s="363">
        <f>P11-N11</f>
        <v>0</v>
      </c>
      <c r="R12" s="363">
        <f>R11-P11</f>
        <v>0</v>
      </c>
      <c r="T12" s="363">
        <f>T11-R11</f>
        <v>0</v>
      </c>
    </row>
    <row r="13" spans="2:8" ht="15">
      <c r="B13" s="243">
        <v>11</v>
      </c>
      <c r="C13" s="243" t="s">
        <v>158</v>
      </c>
      <c r="D13" s="243">
        <v>30</v>
      </c>
      <c r="E13" s="353" t="s">
        <v>157</v>
      </c>
      <c r="F13" s="353" t="str">
        <f>информация!A68</f>
        <v>Ноябрь2016</v>
      </c>
      <c r="G13" s="362">
        <f>информация!D68</f>
        <v>717.6</v>
      </c>
      <c r="H13" s="369"/>
    </row>
    <row r="14" spans="2:8" ht="15">
      <c r="B14" s="243">
        <v>12</v>
      </c>
      <c r="C14" s="243" t="s">
        <v>148</v>
      </c>
      <c r="D14" s="243">
        <v>31</v>
      </c>
      <c r="E14" s="353" t="s">
        <v>158</v>
      </c>
      <c r="F14" s="353" t="str">
        <f>информация!A67</f>
        <v>Декабрь2016</v>
      </c>
      <c r="G14" s="362">
        <f>информация!D67</f>
        <v>801.6</v>
      </c>
      <c r="H14" s="369"/>
    </row>
    <row r="15" spans="2:8" ht="15">
      <c r="B15" s="243"/>
      <c r="C15" s="243"/>
      <c r="D15" s="243"/>
      <c r="F15" s="353" t="str">
        <f>информация!A66</f>
        <v>Январь2017</v>
      </c>
      <c r="G15" s="362">
        <f>информация!D66</f>
        <v>720.7</v>
      </c>
      <c r="H15" s="369"/>
    </row>
    <row r="16" spans="6:8" ht="15">
      <c r="F16" s="353" t="str">
        <f>информация!A65</f>
        <v>Февраль2017</v>
      </c>
      <c r="G16" s="362">
        <f>информация!D65</f>
        <v>716.5</v>
      </c>
      <c r="H16" s="369"/>
    </row>
    <row r="17" spans="6:8" ht="15">
      <c r="F17" s="353" t="str">
        <f>информация!A64</f>
        <v>Март2017</v>
      </c>
      <c r="G17" s="362">
        <f>информация!D64</f>
        <v>770.6</v>
      </c>
      <c r="H17" s="369"/>
    </row>
    <row r="18" spans="6:8" ht="15">
      <c r="F18" s="353" t="str">
        <f>информация!A63</f>
        <v>Апрель2017</v>
      </c>
      <c r="G18" s="362">
        <f>информация!D63</f>
        <v>776.7</v>
      </c>
      <c r="H18" s="369"/>
    </row>
    <row r="19" spans="6:8" ht="15">
      <c r="F19" s="353" t="str">
        <f>информация!A62</f>
        <v>Май2017</v>
      </c>
      <c r="G19" s="362">
        <f>информация!D62</f>
        <v>795.2</v>
      </c>
      <c r="H19" s="369"/>
    </row>
    <row r="20" spans="6:8" ht="15">
      <c r="F20" s="353" t="str">
        <f>информация!A61</f>
        <v>Июнь2017</v>
      </c>
      <c r="G20" s="362">
        <f>информация!D61</f>
        <v>819.3</v>
      </c>
      <c r="H20" s="369"/>
    </row>
    <row r="21" spans="6:8" ht="15">
      <c r="F21" s="353" t="str">
        <f>информация!A60</f>
        <v>Июль2017</v>
      </c>
      <c r="G21" s="362">
        <f>информация!D60</f>
        <v>827.5</v>
      </c>
      <c r="H21" s="369"/>
    </row>
    <row r="22" spans="6:8" ht="15">
      <c r="F22" s="353" t="str">
        <f>информация!A59</f>
        <v>Август2017</v>
      </c>
      <c r="G22" s="362">
        <f>информация!D59</f>
        <v>844.4</v>
      </c>
      <c r="H22" s="369"/>
    </row>
    <row r="23" spans="6:8" ht="15">
      <c r="F23" s="353" t="str">
        <f>информация!A58</f>
        <v>Сентябрь2017</v>
      </c>
      <c r="G23" s="362">
        <f>информация!D58</f>
        <v>831.3</v>
      </c>
      <c r="H23" s="369"/>
    </row>
    <row r="24" spans="6:8" ht="15">
      <c r="F24" s="353" t="str">
        <f>информация!A57</f>
        <v>Октябрь2017</v>
      </c>
      <c r="G24" s="362">
        <f>информация!D57</f>
        <v>841</v>
      </c>
      <c r="H24" s="369"/>
    </row>
    <row r="25" spans="6:8" ht="15">
      <c r="F25" s="353" t="str">
        <f>информация!A56</f>
        <v>Ноябрь2017</v>
      </c>
      <c r="G25" s="362">
        <f>информация!D56</f>
        <v>836.9</v>
      </c>
      <c r="H25" s="369"/>
    </row>
    <row r="26" spans="6:8" ht="15">
      <c r="F26" s="353" t="str">
        <f>информация!A55</f>
        <v>Декабрь2017</v>
      </c>
      <c r="G26" s="362">
        <f>информация!D55</f>
        <v>995.3</v>
      </c>
      <c r="H26" s="369"/>
    </row>
    <row r="27" spans="6:7" ht="15">
      <c r="F27" s="353" t="str">
        <f>информация!A54</f>
        <v>Январь2018</v>
      </c>
      <c r="G27" s="362">
        <f>информация!D54</f>
        <v>859</v>
      </c>
    </row>
    <row r="28" spans="6:7" ht="15">
      <c r="F28" s="353" t="str">
        <f>информация!A53</f>
        <v>Февраль2018</v>
      </c>
      <c r="G28" s="362">
        <f>информация!D53</f>
        <v>850.4</v>
      </c>
    </row>
    <row r="29" spans="6:7" ht="15">
      <c r="F29" s="353" t="str">
        <f>информация!A52</f>
        <v>Март2018</v>
      </c>
      <c r="G29" s="362">
        <f>информация!D52</f>
        <v>926.8</v>
      </c>
    </row>
    <row r="30" spans="6:7" ht="15">
      <c r="F30" s="353" t="str">
        <f>информация!A51</f>
        <v>Апрель2018</v>
      </c>
      <c r="G30" s="362">
        <f>информация!D51</f>
        <v>921</v>
      </c>
    </row>
    <row r="31" spans="6:7" ht="15">
      <c r="F31" s="353" t="str">
        <f>информация!A50</f>
        <v>Май2018</v>
      </c>
      <c r="G31" s="362">
        <f>информация!D50</f>
        <v>943.9</v>
      </c>
    </row>
    <row r="32" spans="6:7" ht="15">
      <c r="F32" s="353" t="str">
        <f>информация!A49</f>
        <v>Июнь2018</v>
      </c>
      <c r="G32" s="362">
        <f>информация!D49</f>
        <v>953.7</v>
      </c>
    </row>
    <row r="33" spans="6:7" ht="15">
      <c r="F33" s="353" t="str">
        <f>информация!A48</f>
        <v>Июль2018</v>
      </c>
      <c r="G33" s="362">
        <f>информация!D48</f>
        <v>973.8</v>
      </c>
    </row>
    <row r="34" spans="6:7" ht="15">
      <c r="F34" s="353" t="str">
        <f>информация!A47</f>
        <v>Август2018</v>
      </c>
      <c r="G34" s="362">
        <f>информация!D47</f>
        <v>987.5</v>
      </c>
    </row>
    <row r="35" spans="6:7" ht="15">
      <c r="F35" s="353" t="str">
        <f>информация!A46</f>
        <v>Сентябрь2018</v>
      </c>
      <c r="G35" s="362">
        <f>информация!D46</f>
        <v>963.6</v>
      </c>
    </row>
    <row r="36" spans="6:7" ht="15">
      <c r="F36" s="353" t="str">
        <f>информация!A45</f>
        <v>Октябрь2018</v>
      </c>
      <c r="G36" s="362">
        <f>информация!D45</f>
        <v>999.7</v>
      </c>
    </row>
    <row r="37" spans="6:7" ht="15">
      <c r="F37" s="353" t="str">
        <f>информация!A44</f>
        <v>Ноябрь2018</v>
      </c>
      <c r="G37" s="362">
        <f>информация!D44</f>
        <v>994</v>
      </c>
    </row>
    <row r="38" spans="6:7" ht="15">
      <c r="F38" s="353" t="str">
        <f>информация!A43</f>
        <v>Декабрь2018</v>
      </c>
      <c r="G38" s="362">
        <f>информация!D43</f>
        <v>1115.3</v>
      </c>
    </row>
    <row r="39" spans="6:7" ht="15">
      <c r="F39" s="353" t="str">
        <f>информация!A42</f>
        <v>Январь2019</v>
      </c>
      <c r="G39" s="362">
        <f>информация!D42</f>
        <v>981.6</v>
      </c>
    </row>
    <row r="40" spans="6:7" ht="15">
      <c r="F40" s="353" t="str">
        <f>информация!A41</f>
        <v>Февраль2019</v>
      </c>
      <c r="G40" s="362">
        <f>информация!D41</f>
        <v>977.6</v>
      </c>
    </row>
    <row r="41" spans="6:7" ht="15">
      <c r="F41" s="353" t="str">
        <f>информация!A40</f>
        <v>Март2019</v>
      </c>
      <c r="G41" s="362">
        <f>информация!D40</f>
        <v>1056.9</v>
      </c>
    </row>
    <row r="42" spans="6:7" ht="15">
      <c r="F42" s="353" t="str">
        <f>информация!A39</f>
        <v>Апрель2019</v>
      </c>
      <c r="G42" s="362">
        <f>информация!D39</f>
        <v>1073.7</v>
      </c>
    </row>
    <row r="43" spans="6:7" ht="15">
      <c r="F43" s="353" t="str">
        <f>информация!A38</f>
        <v>Май2019</v>
      </c>
      <c r="G43" s="362">
        <f>информация!D38</f>
        <v>1071.6</v>
      </c>
    </row>
    <row r="44" spans="6:7" ht="15">
      <c r="F44" s="353" t="str">
        <f>информация!A37</f>
        <v>Июнь2019</v>
      </c>
      <c r="G44" s="362">
        <f>информация!D37</f>
        <v>1080.5</v>
      </c>
    </row>
    <row r="45" spans="6:7" ht="15">
      <c r="F45" s="353" t="str">
        <f>информация!A36</f>
        <v>Июль2019</v>
      </c>
      <c r="G45" s="362">
        <f>информация!D36</f>
        <v>1128.5</v>
      </c>
    </row>
    <row r="46" spans="6:7" ht="15">
      <c r="F46" s="353" t="str">
        <f>информация!A35</f>
        <v>Август2019</v>
      </c>
      <c r="G46" s="362">
        <f>информация!D35</f>
        <v>1117.8</v>
      </c>
    </row>
    <row r="47" spans="6:7" ht="15">
      <c r="F47" s="353" t="str">
        <f>информация!A34</f>
        <v>Сентябрь2019</v>
      </c>
      <c r="G47" s="362">
        <f>информация!D34</f>
        <v>1108.5</v>
      </c>
    </row>
    <row r="48" spans="6:7" ht="15">
      <c r="F48" s="353" t="str">
        <f>информация!A33</f>
        <v>Октябрь2019</v>
      </c>
      <c r="G48" s="362">
        <f>информация!D33</f>
        <v>1123.4</v>
      </c>
    </row>
    <row r="49" spans="6:7" ht="15">
      <c r="F49" s="353" t="str">
        <f>информация!A32</f>
        <v>Ноябрь2019</v>
      </c>
      <c r="G49" s="362">
        <f>информация!D32</f>
        <v>1113.1</v>
      </c>
    </row>
    <row r="50" spans="6:7" ht="15">
      <c r="F50" s="353" t="str">
        <f>информация!A31</f>
        <v>Декабрь2019</v>
      </c>
      <c r="G50" s="362">
        <f>информация!D31</f>
        <v>1238.7</v>
      </c>
    </row>
    <row r="51" spans="6:7" ht="15">
      <c r="F51" s="353" t="str">
        <f>информация!A30</f>
        <v>Январь2020</v>
      </c>
      <c r="G51" s="362">
        <f>информация!D30</f>
        <v>1118.1</v>
      </c>
    </row>
    <row r="52" spans="6:7" ht="15">
      <c r="F52" s="353" t="str">
        <f>информация!A29</f>
        <v>Февраль2020</v>
      </c>
      <c r="G52" s="362">
        <f>информация!D29</f>
        <v>1119.7</v>
      </c>
    </row>
    <row r="53" spans="6:7" ht="15">
      <c r="F53" s="353" t="str">
        <f>информация!A28</f>
        <v>Март2020</v>
      </c>
      <c r="G53" s="362">
        <f>информация!D28</f>
        <v>1213.6</v>
      </c>
    </row>
    <row r="54" spans="6:7" ht="15">
      <c r="F54" s="353" t="str">
        <f>информация!A27</f>
        <v>Апрель2020</v>
      </c>
      <c r="G54" s="362">
        <f>информация!D27</f>
        <v>1193.8</v>
      </c>
    </row>
    <row r="55" spans="6:7" ht="15">
      <c r="F55" s="353" t="str">
        <f>информация!A26</f>
        <v>Май2020</v>
      </c>
      <c r="G55" s="362">
        <f>информация!D26</f>
        <v>1227.9</v>
      </c>
    </row>
    <row r="56" spans="6:7" ht="15">
      <c r="F56" s="353" t="str">
        <f>информация!A25</f>
        <v>Июнь2020</v>
      </c>
      <c r="G56" s="362">
        <f>информация!D25</f>
        <v>1248.9</v>
      </c>
    </row>
    <row r="57" spans="6:7" ht="15">
      <c r="F57" s="353" t="str">
        <f>информация!A24</f>
        <v>Июль2020</v>
      </c>
      <c r="G57" s="362">
        <f>информация!D24</f>
        <v>1287.5</v>
      </c>
    </row>
    <row r="58" spans="6:7" ht="15">
      <c r="F58" s="353" t="str">
        <f>информация!A23</f>
        <v>Август2020</v>
      </c>
      <c r="G58" s="362">
        <f>информация!D23</f>
        <v>1276.4</v>
      </c>
    </row>
    <row r="59" spans="6:7" ht="15">
      <c r="F59" s="353" t="str">
        <f>информация!A22</f>
        <v>Сентябрь2020</v>
      </c>
      <c r="G59" s="362">
        <f>информация!D22</f>
        <v>1264.5</v>
      </c>
    </row>
    <row r="60" spans="6:7" ht="15">
      <c r="F60" s="353" t="str">
        <f>информация!A21</f>
        <v>Октябрь2020</v>
      </c>
      <c r="G60" s="362">
        <f>информация!D21</f>
        <v>1285</v>
      </c>
    </row>
    <row r="61" spans="6:7" ht="15">
      <c r="F61" s="353" t="str">
        <f>информация!A20</f>
        <v>Ноябрь2020</v>
      </c>
      <c r="G61" s="362">
        <f>информация!D20</f>
        <v>1300.5</v>
      </c>
    </row>
    <row r="62" spans="6:7" ht="15">
      <c r="F62" s="353" t="str">
        <f>информация!A19</f>
        <v>Декабрь2020</v>
      </c>
      <c r="G62" s="362">
        <f>информация!D19</f>
        <v>1474.6</v>
      </c>
    </row>
    <row r="63" spans="6:7" ht="15">
      <c r="F63" s="353" t="str">
        <f>информация!A18</f>
        <v>Январь2021</v>
      </c>
      <c r="G63" s="362">
        <f>информация!D18</f>
        <v>1474.6</v>
      </c>
    </row>
    <row r="64" spans="6:7" ht="15">
      <c r="F64" s="353" t="str">
        <f>информация!A17</f>
        <v>Февраль2021</v>
      </c>
      <c r="G64" s="362">
        <f>информация!D17</f>
        <v>1474.6</v>
      </c>
    </row>
    <row r="65" spans="6:7" ht="15">
      <c r="F65" s="353" t="str">
        <f>информация!A16</f>
        <v>Март2021</v>
      </c>
      <c r="G65" s="362">
        <f>информация!D16</f>
        <v>1474.6</v>
      </c>
    </row>
    <row r="66" spans="6:7" ht="15">
      <c r="F66" s="353" t="str">
        <f>информация!A15</f>
        <v>Апрель2021</v>
      </c>
      <c r="G66" s="362">
        <f>информация!D15</f>
        <v>1474.6</v>
      </c>
    </row>
    <row r="67" spans="6:7" ht="15">
      <c r="F67" s="353" t="str">
        <f>информация!A14</f>
        <v>Май2021</v>
      </c>
      <c r="G67" s="362">
        <f>информация!D14</f>
        <v>1474.6</v>
      </c>
    </row>
    <row r="68" spans="6:7" ht="15">
      <c r="F68" s="353" t="str">
        <f>информация!A13</f>
        <v>Июнь2021</v>
      </c>
      <c r="G68" s="362">
        <f>информация!D13</f>
        <v>1474.6</v>
      </c>
    </row>
    <row r="69" spans="6:7" ht="15">
      <c r="F69" s="353" t="str">
        <f>информация!A12</f>
        <v>Июль2021</v>
      </c>
      <c r="G69" s="362">
        <f>информация!D12</f>
        <v>1474.6</v>
      </c>
    </row>
    <row r="70" spans="6:7" ht="15">
      <c r="F70" s="353" t="str">
        <f>информация!A11</f>
        <v>Август2021</v>
      </c>
      <c r="G70" s="362">
        <f>информация!D11</f>
        <v>1474.6</v>
      </c>
    </row>
    <row r="71" spans="6:7" ht="15">
      <c r="F71" s="353" t="str">
        <f>информация!A10</f>
        <v>Сентябрь2021</v>
      </c>
      <c r="G71" s="362">
        <f>информация!D10</f>
        <v>1474.6</v>
      </c>
    </row>
    <row r="72" spans="6:7" ht="15">
      <c r="F72" s="353" t="str">
        <f>информация!A9</f>
        <v>Октябрь2021</v>
      </c>
      <c r="G72" s="362">
        <f>информация!D9</f>
        <v>1474.6</v>
      </c>
    </row>
  </sheetData>
  <sheetProtection/>
  <printOptions/>
  <pageMargins left="0.75" right="0.75" top="1" bottom="1" header="0.5" footer="0.5"/>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9.xml><?xml version="1.0" encoding="utf-8"?>
<worksheet xmlns="http://schemas.openxmlformats.org/spreadsheetml/2006/main" xmlns:r="http://schemas.openxmlformats.org/officeDocument/2006/relationships">
  <dimension ref="A1:S96"/>
  <sheetViews>
    <sheetView zoomScalePageLayoutView="0" workbookViewId="0" topLeftCell="A1">
      <selection activeCell="A1" sqref="A1:IV16384"/>
    </sheetView>
  </sheetViews>
  <sheetFormatPr defaultColWidth="7.875" defaultRowHeight="12.75"/>
  <cols>
    <col min="1" max="1" width="14.625" style="210" customWidth="1"/>
    <col min="2" max="2" width="7.75390625" style="210" customWidth="1"/>
    <col min="3" max="3" width="5.625" style="210" customWidth="1"/>
    <col min="4" max="4" width="11.625" style="210" customWidth="1"/>
    <col min="5" max="5" width="19.75390625" style="210" customWidth="1"/>
    <col min="6" max="6" width="8.125" style="210" customWidth="1"/>
    <col min="7" max="7" width="7.875" style="210" customWidth="1"/>
    <col min="8" max="8" width="11.375" style="224" customWidth="1"/>
    <col min="9" max="9" width="8.75390625" style="210" bestFit="1" customWidth="1"/>
    <col min="10" max="12" width="7.875" style="210" customWidth="1"/>
    <col min="13" max="13" width="13.25390625" style="210" bestFit="1" customWidth="1"/>
    <col min="14" max="16" width="7.875" style="210" customWidth="1"/>
    <col min="17" max="17" width="13.25390625" style="210" bestFit="1" customWidth="1"/>
    <col min="18" max="16384" width="7.875" style="210" customWidth="1"/>
  </cols>
  <sheetData>
    <row r="1" spans="2:8" ht="15.75">
      <c r="B1" s="211"/>
      <c r="C1" s="211"/>
      <c r="D1" s="211"/>
      <c r="E1" s="212">
        <f>'Пособие по временной нетрудосп.'!$L$113</f>
        <v>3695.58</v>
      </c>
      <c r="H1" s="213"/>
    </row>
    <row r="2" spans="1:19" ht="15.75">
      <c r="A2" s="214" t="s">
        <v>213</v>
      </c>
      <c r="B2" s="215" t="str">
        <f>SUBSTITUTE(B4,F8,F9,1)</f>
        <v>Три тысячи шестьсот девяносто пять рублей </v>
      </c>
      <c r="E2" s="216"/>
      <c r="H2" s="217"/>
      <c r="I2" s="218"/>
      <c r="J2" s="217"/>
      <c r="K2" s="217"/>
      <c r="L2" s="217"/>
      <c r="M2" s="219" t="s">
        <v>214</v>
      </c>
      <c r="N2" s="518">
        <f ca="1">TODAY()</f>
        <v>44272</v>
      </c>
      <c r="O2" s="518"/>
      <c r="P2" s="218">
        <f>DAY(N2)</f>
        <v>17</v>
      </c>
      <c r="Q2" s="220" t="str">
        <f>IF(Q3&gt;7,S2,S3)</f>
        <v>марта</v>
      </c>
      <c r="R2" s="219">
        <f>YEAR(N2)</f>
        <v>2021</v>
      </c>
      <c r="S2" s="217" t="str">
        <f>IF(Q3=8,"августа",IF(Q3=9,"сентября",IF(Q3=10,"октября",IF(Q3=11,"ноября",IF(Q3=12,"декабря","не отсюда")))))</f>
        <v>не отсюда</v>
      </c>
    </row>
    <row r="3" spans="1:19" ht="12.75">
      <c r="A3" s="214" t="s">
        <v>215</v>
      </c>
      <c r="B3" s="221" t="str">
        <f>SUBSTITUTE(B5,F8,F9,1)</f>
        <v>Три тысячи шестьсот девяносто пять рублей </v>
      </c>
      <c r="H3" s="217"/>
      <c r="I3" s="217"/>
      <c r="J3" s="217"/>
      <c r="K3" s="519" t="str">
        <f>CONCATENATE(" «  ",P2,"  »  ",Q2,"  ",R2," г.")</f>
        <v> «  17  »  марта  2021 г.</v>
      </c>
      <c r="L3" s="519"/>
      <c r="M3" s="519"/>
      <c r="N3" s="222"/>
      <c r="O3" s="222"/>
      <c r="P3" s="217"/>
      <c r="Q3" s="220">
        <f>MONTH(N2)</f>
        <v>3</v>
      </c>
      <c r="R3" s="217"/>
      <c r="S3" s="217" t="str">
        <f>IF(Q3=1,"января",IF(Q3=2,"февраля",IF(Q3=3,"марта",IF(Q3=4,"апреля",IF(Q3=5,"мая",IF(Q3=6,"июня",IF(Q3=7,"июля","брать не отсюда")))))))</f>
        <v>марта</v>
      </c>
    </row>
    <row r="4" spans="1:2" ht="12.75">
      <c r="A4" s="223" t="s">
        <v>216</v>
      </c>
      <c r="B4" s="221" t="str">
        <f>CONCATENATE(A7,A8,A9,A10)</f>
        <v>три тысячи шестьсот девяносто пять рублей </v>
      </c>
    </row>
    <row r="5" spans="1:10" s="221" customFormat="1" ht="12.75">
      <c r="A5" s="223" t="s">
        <v>217</v>
      </c>
      <c r="B5" s="221" t="str">
        <f>CONCATENATE(A7,A8,A9,A10,A11,B7,B8,C8)</f>
        <v>три тысячи шестьсот девяносто пять рублей </v>
      </c>
      <c r="C5" s="210"/>
      <c r="D5" s="210"/>
      <c r="E5" s="210"/>
      <c r="H5" s="225"/>
      <c r="I5" s="225"/>
      <c r="J5" s="225"/>
    </row>
    <row r="6" spans="4:10" ht="12.75" customHeight="1">
      <c r="D6" s="224"/>
      <c r="H6" s="225"/>
      <c r="I6" s="225"/>
      <c r="J6" s="225"/>
    </row>
    <row r="7" spans="1:10" ht="12.75" customHeight="1">
      <c r="A7" s="226">
        <f>CONCATENATE(IF(B14=0,"",E14),IF(B15=0,"",IF(C16&lt;20,IF(C16&lt;16,IF(C16&lt;10,E15,D16),F16),E15)),IF(B16=0,"",IF(NOT(B15=1),E16,"")),F17)</f>
      </c>
      <c r="D7" s="224"/>
      <c r="F7" s="227">
        <f>CODE(B5)</f>
        <v>242</v>
      </c>
      <c r="G7" s="226"/>
      <c r="H7" s="225"/>
      <c r="I7" s="225"/>
      <c r="J7" s="225"/>
    </row>
    <row r="8" spans="1:17" ht="12.75" customHeight="1">
      <c r="A8" s="226">
        <f>CONCATENATE(IF(B18=0,"",E18),IF(B19=0,"",IF(C20&lt;20,IF(C20&lt;16,IF(C20&lt;10,E19,D20),F20),E19)),IF(B20=0,"",IF(NOT(B19=1),E20,"")),F21)</f>
      </c>
      <c r="B8" s="228"/>
      <c r="D8" s="229"/>
      <c r="F8" s="227" t="str">
        <f>CHAR(F7)</f>
        <v>т</v>
      </c>
      <c r="G8" s="226"/>
      <c r="H8" s="225"/>
      <c r="I8" s="225"/>
      <c r="J8" s="225"/>
      <c r="Q8" s="230"/>
    </row>
    <row r="9" spans="1:10" s="226" customFormat="1" ht="12.75" customHeight="1">
      <c r="A9" s="226" t="str">
        <f>CONCATENATE(IF(B22=0,"",E22),IF(B23=0,"",IF(C24&lt;20,IF(C24&lt;16,IF(C24&lt;10,E23,D24),F24),E23)),IF(B24=0,"",IF(NOT(B23=1),E24,"")),F25)</f>
        <v>три тысячи </v>
      </c>
      <c r="D9" s="225"/>
      <c r="E9" s="231"/>
      <c r="F9" s="227" t="str">
        <f>PROPER(F8)</f>
        <v>Т</v>
      </c>
      <c r="H9" s="225"/>
      <c r="I9" s="225"/>
      <c r="J9" s="225"/>
    </row>
    <row r="10" spans="1:10" s="226" customFormat="1" ht="12.75" customHeight="1">
      <c r="A10" s="226" t="str">
        <f>CONCATENATE(IF(B26=0,"",E26),IF(B27=0,"",IF(C28&lt;20,IF(C28&lt;16,IF(C28&lt;10,E27,D28),F28),E27)),IF(B28=0,"",IF(NOT(B27=1),E28,"")),F29)</f>
        <v>шестьсот девяносто пять рублей </v>
      </c>
      <c r="D10" s="225"/>
      <c r="E10" s="231"/>
      <c r="H10" s="225"/>
      <c r="I10" s="225"/>
      <c r="J10" s="225"/>
    </row>
    <row r="11" spans="1:13" s="226" customFormat="1" ht="12.75">
      <c r="A11" s="232"/>
      <c r="D11" s="225"/>
      <c r="E11" s="231"/>
      <c r="M11" s="233"/>
    </row>
    <row r="12" spans="1:13" s="226" customFormat="1" ht="12.75">
      <c r="A12" s="232"/>
      <c r="E12" s="234">
        <f>TRUNC(E1)</f>
        <v>3695</v>
      </c>
      <c r="F12" s="226" t="s">
        <v>218</v>
      </c>
      <c r="H12" s="225"/>
      <c r="M12" s="235"/>
    </row>
    <row r="13" spans="1:8" s="226" customFormat="1" ht="12.75">
      <c r="A13" s="236">
        <f>TRUNC(A14/10)</f>
        <v>0</v>
      </c>
      <c r="B13" s="225"/>
      <c r="H13" s="225"/>
    </row>
    <row r="14" spans="1:8" s="226" customFormat="1" ht="12.75">
      <c r="A14" s="236">
        <f>TRUNC(A15/10)</f>
        <v>0</v>
      </c>
      <c r="B14" s="225">
        <f>TRUNC(RIGHT(A14))</f>
        <v>0</v>
      </c>
      <c r="C14" s="226">
        <f>B14</f>
        <v>0</v>
      </c>
      <c r="E14" s="237" t="str">
        <f>IF(B14=1,E42,IF(B14=2,G34,IF(B14=3,G35,IF(B14=4,G36,IF(B14=5,G37,IF(B14=6,G38,IF(B14=7,G39,IF(B14=8,G40,G41))))))))</f>
        <v>девятьсот </v>
      </c>
      <c r="H14" s="225"/>
    </row>
    <row r="15" spans="1:8" s="226" customFormat="1" ht="12.75">
      <c r="A15" s="236">
        <f>TRUNC(A16/10)</f>
        <v>0</v>
      </c>
      <c r="B15" s="225">
        <f>TRUNC(RIGHT(A15))</f>
        <v>0</v>
      </c>
      <c r="C15" s="226">
        <f>IF(B15=1,"",B15)</f>
        <v>0</v>
      </c>
      <c r="E15" s="238">
        <f>IF(OR(C15=0,B15=1),"",IF(B15=2,E34,IF(B15=3,E35,IF(B15=4,E36,IF(B15=5,E37,IF(B15=6,E38,IF(B15=7,E39,IF(B15=8,E40,E41))))))))</f>
      </c>
      <c r="H15" s="225"/>
    </row>
    <row r="16" spans="1:8" s="226" customFormat="1" ht="12.75">
      <c r="A16" s="236">
        <f>TRUNC(A18/10)</f>
        <v>0</v>
      </c>
      <c r="B16" s="225">
        <f>TRUNC(RIGHT(A16))</f>
        <v>0</v>
      </c>
      <c r="C16" s="226">
        <f>IF(B15=1,B16+10,IF(B16=0,0,B16))</f>
        <v>0</v>
      </c>
      <c r="D16" s="226">
        <f>IF(AND(C16&gt;9,C16&lt;16),IF(C16=10,D33,IF(C16=11,D34,IF(C16=12,D35,IF(C16=13,D36,IF(C16=14,D37,IF(C16=15,D38,)))))),"")</f>
      </c>
      <c r="E16" s="238" t="str">
        <f>IF(B16=1,A33,IF(B16=2,A34,IF(B16=3,A35,IF(B16=4,A36,IF(B16=5,A37,IF(B16=6,A38,IF(B16=7,A39,IF(B16=8,A40,A41))))))))</f>
        <v>девять </v>
      </c>
      <c r="F16" s="226">
        <f>IF(AND(C16&gt;15,C16&lt;20),IF(C16=16,D39,IF(C16=17,D40,IF(C16=18,D41,IF(C16=19,D42,)))),"")</f>
      </c>
      <c r="H16" s="225"/>
    </row>
    <row r="17" spans="1:8" s="226" customFormat="1" ht="12.75">
      <c r="A17" s="236"/>
      <c r="B17" s="225"/>
      <c r="D17" s="225"/>
      <c r="E17" s="226">
        <f>B16+B15*10+B14*100</f>
        <v>0</v>
      </c>
      <c r="F17" s="226">
        <f>IF(E17=0,"",IF(B15=1,"миллиардов ",IF(B16=1,"милиард ",IF(OR(B16=2,B16=3,B16=4),"миллиарда ","милиардов "))))</f>
      </c>
      <c r="H17" s="225"/>
    </row>
    <row r="18" spans="1:8" s="226" customFormat="1" ht="12.75">
      <c r="A18" s="236">
        <f>TRUNC(A19/10)</f>
        <v>0</v>
      </c>
      <c r="B18" s="225">
        <f>TRUNC(RIGHT(A18))</f>
        <v>0</v>
      </c>
      <c r="C18" s="226">
        <f>B18</f>
        <v>0</v>
      </c>
      <c r="E18" s="237" t="str">
        <f>IF(B18=1,E42,IF(B18=2,G34,IF(B18=3,G35,IF(B18=4,G36,IF(B18=5,G37,IF(B18=6,G38,IF(B18=7,G39,IF(B18=8,G40,G41))))))))</f>
        <v>девятьсот </v>
      </c>
      <c r="H18" s="225"/>
    </row>
    <row r="19" spans="1:6" ht="12.75">
      <c r="A19" s="236">
        <f>TRUNC(A20/10)</f>
        <v>0</v>
      </c>
      <c r="B19" s="225">
        <f>TRUNC(RIGHT(A19))</f>
        <v>0</v>
      </c>
      <c r="C19" s="226">
        <f>IF(B19=1,"",B19)</f>
        <v>0</v>
      </c>
      <c r="D19" s="226"/>
      <c r="E19" s="238">
        <f>IF(OR(C19=0,B19=1),"",IF(B19=2,E34,IF(B19=3,E35,IF(B19=4,E36,IF(B19=5,E37,IF(B19=6,E38,IF(B19=7,E39,IF(B19=8,E40,E41))))))))</f>
      </c>
      <c r="F19" s="226"/>
    </row>
    <row r="20" spans="1:6" s="226" customFormat="1" ht="12.75">
      <c r="A20" s="236">
        <f>TRUNC(A22/10)</f>
        <v>0</v>
      </c>
      <c r="B20" s="225">
        <f>TRUNC(RIGHT(A20))</f>
        <v>0</v>
      </c>
      <c r="C20" s="226">
        <f>IF(B19=1,B20+10,IF(B20=0,0,B20))</f>
        <v>0</v>
      </c>
      <c r="D20" s="226">
        <f>IF(AND(C20&gt;9,C20&lt;16),IF(C20=10,D33,IF(C20=11,D34,IF(C20=12,D35,IF(C20=13,D36,IF(C20=14,D37,IF(C20=15,D38,)))))),"")</f>
      </c>
      <c r="E20" s="238" t="str">
        <f>IF(B20=1,A33,IF(B20=2,A34,IF(B20=3,A35,IF(B20=4,A36,IF(B20=5,A37,IF(B20=6,A38,IF(B20=7,A39,IF(B20=8,A40,A41))))))))</f>
        <v>девять </v>
      </c>
      <c r="F20" s="226">
        <f>IF(AND(C20&gt;15,C20&lt;20),IF(C20=16,D39,IF(C20=17,D40,IF(C20=18,D41,IF(C20=19,D42,)))),"")</f>
      </c>
    </row>
    <row r="21" spans="1:6" s="226" customFormat="1" ht="12.75">
      <c r="A21" s="236"/>
      <c r="B21" s="225"/>
      <c r="E21" s="226">
        <f>B20+B19*10+B18*100</f>
        <v>0</v>
      </c>
      <c r="F21" s="226">
        <f>IF(E21=0,"",IF(B19=1,"миллионов ",IF(B20=1,"миллион ",IF(OR(B20=2,B20=3,B20=4),"миллиона ","миллионов "))))</f>
      </c>
    </row>
    <row r="22" spans="1:9" s="226" customFormat="1" ht="12.75">
      <c r="A22" s="236">
        <f>TRUNC(A23/10)</f>
        <v>0</v>
      </c>
      <c r="B22" s="225">
        <f>TRUNC(RIGHT(A22))</f>
        <v>0</v>
      </c>
      <c r="C22" s="226">
        <f>B22</f>
        <v>0</v>
      </c>
      <c r="E22" s="237" t="str">
        <f>IF(B22=1,E42,IF(B22=2,G34,IF(B22=3,G35,IF(B22=4,G36,IF(B22=5,G37,IF(B22=6,G38,IF(B22=7,G39,IF(B22=8,G40,G41))))))))</f>
        <v>девятьсот </v>
      </c>
      <c r="I22" s="233"/>
    </row>
    <row r="23" spans="1:5" s="226" customFormat="1" ht="12.75">
      <c r="A23" s="236">
        <f>TRUNC(A24/10)</f>
        <v>0</v>
      </c>
      <c r="B23" s="225">
        <f>TRUNC(RIGHT(A23))</f>
        <v>0</v>
      </c>
      <c r="C23" s="226">
        <f>IF(B23=1,"",B23)</f>
        <v>0</v>
      </c>
      <c r="E23" s="238">
        <f>IF(OR(C23=0,B23=1),"",IF(B23=2,E34,IF(B23=3,E35,IF(B23=4,E36,IF(B23=5,E37,IF(B23=6,E38,IF(B23=7,E39,IF(B23=8,E40,E41))))))))</f>
      </c>
    </row>
    <row r="24" spans="1:6" s="226" customFormat="1" ht="12.75">
      <c r="A24" s="236">
        <f>TRUNC(A26/10)</f>
        <v>3</v>
      </c>
      <c r="B24" s="225">
        <f>TRUNC(RIGHT(A24))</f>
        <v>3</v>
      </c>
      <c r="C24" s="226">
        <f>IF(B23=1,B24+10,IF(B24=0,0,B24))</f>
        <v>3</v>
      </c>
      <c r="D24" s="226">
        <f>IF(AND(C24&gt;9,C24&lt;16),IF(C24=10,D33,IF(C24=11,D34,IF(C24=12,D35,IF(C24=13,D36,IF(C24=14,D37,IF(C24=15,D38,)))))),"")</f>
      </c>
      <c r="E24" s="238" t="str">
        <f>IF(B24=1,B33,IF(B24=2,B34,IF(B24=3,A35,IF(B24=4,A36,IF(B24=5,A37,IF(B24=6,A38,IF(B24=7,A39,IF(B24=8,A40,A41))))))))</f>
        <v>три </v>
      </c>
      <c r="F24" s="226">
        <f>IF(AND(C24&gt;15,C24&lt;20),IF(C24=16,D39,IF(C24=17,D40,IF(C24=18,D41,IF(C24=19,D42,)))),"")</f>
      </c>
    </row>
    <row r="25" spans="1:6" s="226" customFormat="1" ht="12.75">
      <c r="A25" s="236"/>
      <c r="B25" s="225"/>
      <c r="E25" s="238">
        <f>B22*100+B23*10+B24</f>
        <v>3</v>
      </c>
      <c r="F25" s="226" t="str">
        <f>IF(E25=0,"",IF(B23=1,"тысяч ",IF(B24=1,"тысяча ",IF(OR(B24=2,B24=3,B24=4),"тысячи ","тысяч "))))</f>
        <v>тысячи </v>
      </c>
    </row>
    <row r="26" spans="1:5" s="226" customFormat="1" ht="12.75">
      <c r="A26" s="236">
        <f>TRUNC(A27/10)</f>
        <v>36</v>
      </c>
      <c r="B26" s="225">
        <f>TRUNC(RIGHT(A26))</f>
        <v>6</v>
      </c>
      <c r="C26" s="226">
        <f>B26</f>
        <v>6</v>
      </c>
      <c r="E26" s="237" t="str">
        <f>IF(B26=1,E42,IF(B26=2,G34,IF(B26=3,G35,IF(B26=4,G36,IF(B26=5,G37,IF(B26=6,G38,IF(B26=7,G39,IF(B26=8,G40,G41))))))))</f>
        <v>шестьсот </v>
      </c>
    </row>
    <row r="27" spans="1:7" s="226" customFormat="1" ht="12.75">
      <c r="A27" s="236">
        <f>TRUNC(A28/10)</f>
        <v>369</v>
      </c>
      <c r="B27" s="239">
        <f>TRUNC(RIGHT(A27))</f>
        <v>9</v>
      </c>
      <c r="C27" s="226">
        <f>IF(B27=1,"",B27)</f>
        <v>9</v>
      </c>
      <c r="E27" s="238" t="str">
        <f>IF(OR(C27=0,B27=1),"",IF(C27=2,E34,IF(C27=3,E35,IF(C27=4,E36,IF(C27=5,E37,IF(C27=6,E38,IF(C27=7,E39,IF(C27=8,E40,E41))))))))</f>
        <v>девяносто </v>
      </c>
      <c r="G27" s="225"/>
    </row>
    <row r="28" spans="1:7" s="226" customFormat="1" ht="12.75">
      <c r="A28" s="236">
        <f>E12</f>
        <v>3695</v>
      </c>
      <c r="B28" s="225">
        <f>TRUNC(RIGHT(A28))</f>
        <v>5</v>
      </c>
      <c r="C28" s="226">
        <f>IF(B27=1,B28+10,IF(B28=0,0,B28))</f>
        <v>5</v>
      </c>
      <c r="D28" s="226">
        <f>IF(AND(C28&gt;9,C28&lt;16),IF(C28=10,D33,IF(C28=11,D34,IF(C28=12,D35,IF(C28=13,D36,IF(C28=14,D37,IF(C28=15,D38,)))))),"")</f>
      </c>
      <c r="E28" s="238" t="str">
        <f>IF(B28=1,A33,IF(B28=2,A34,IF(B28=3,A35,IF(B28=4,A36,IF(B28=5,A37,IF(B28=6,A38,IF(B28=7,A39,IF(B28=8,A40,A41))))))))</f>
        <v>пять </v>
      </c>
      <c r="F28" s="226">
        <f>IF(AND(C28&gt;15,C28&lt;20),IF(C28=16,D39,IF(C28=17,D40,IF(C28=18,D41,IF(C28=19,D42,)))),"")</f>
      </c>
      <c r="G28" s="225"/>
    </row>
    <row r="29" spans="1:7" s="226" customFormat="1" ht="12.75">
      <c r="A29" s="232"/>
      <c r="B29" s="239"/>
      <c r="C29" s="225"/>
      <c r="E29" s="238">
        <f>B26*100+B27*10+B28</f>
        <v>695</v>
      </c>
      <c r="F29" s="226" t="str">
        <f>IF(E29+E25+E21+E17=0,"ноль рублей ",IF(C28=1,"рубль ",IF(OR(C28=2,C28=3,C28=4),"рубля ","рублей ")))</f>
        <v>рублей </v>
      </c>
      <c r="G29" s="225"/>
    </row>
    <row r="30" spans="1:8" s="226" customFormat="1" ht="12.75">
      <c r="A30" s="240">
        <f>ROUND(100*(E1-E12),0)</f>
        <v>58</v>
      </c>
      <c r="C30" s="225">
        <f>TRUNC(A30/10)</f>
        <v>5</v>
      </c>
      <c r="E30" s="238" t="str">
        <f>IF(OR(C30=1,C30=0),"",IF(C30=2,E34,IF(C30=3,E35,IF(C30=4,E36,IF(C30=5,E37,IF(C30=6,E38,IF(C30=7,E39,IF(C30=8,E40,E41))))))))</f>
        <v>пятьдесят </v>
      </c>
      <c r="H30" s="225"/>
    </row>
    <row r="31" spans="3:8" s="226" customFormat="1" ht="12.75">
      <c r="C31" s="225">
        <f>TRUNC(A30-C30*10)</f>
        <v>8</v>
      </c>
      <c r="E31" s="238" t="str">
        <f>IF(C31=1,B33,IF(C31=2,B34,IF(C31=3,A35,IF(C31=4,A36,IF(C31=5,A37,IF(C31=6,A38,IF(C31=7,A39,IF(C31=8,A40,A41))))))))</f>
        <v>восемь </v>
      </c>
      <c r="H31" s="225"/>
    </row>
    <row r="32" s="226" customFormat="1" ht="12.75">
      <c r="H32" s="225"/>
    </row>
    <row r="33" spans="1:8" s="226" customFormat="1" ht="12.75">
      <c r="A33" s="226" t="s">
        <v>219</v>
      </c>
      <c r="B33" s="226" t="s">
        <v>220</v>
      </c>
      <c r="D33" s="226" t="s">
        <v>221</v>
      </c>
      <c r="H33" s="225"/>
    </row>
    <row r="34" spans="1:7" s="226" customFormat="1" ht="12.75">
      <c r="A34" s="226" t="s">
        <v>222</v>
      </c>
      <c r="B34" s="226" t="s">
        <v>223</v>
      </c>
      <c r="D34" s="226" t="s">
        <v>224</v>
      </c>
      <c r="E34" s="226" t="s">
        <v>225</v>
      </c>
      <c r="G34" s="226" t="s">
        <v>226</v>
      </c>
    </row>
    <row r="35" spans="1:7" s="226" customFormat="1" ht="12.75">
      <c r="A35" s="226" t="s">
        <v>227</v>
      </c>
      <c r="D35" s="226" t="s">
        <v>228</v>
      </c>
      <c r="E35" s="226" t="s">
        <v>229</v>
      </c>
      <c r="G35" s="226" t="s">
        <v>230</v>
      </c>
    </row>
    <row r="36" spans="1:7" s="226" customFormat="1" ht="12.75">
      <c r="A36" s="226" t="s">
        <v>231</v>
      </c>
      <c r="D36" s="226" t="s">
        <v>232</v>
      </c>
      <c r="E36" s="226" t="s">
        <v>233</v>
      </c>
      <c r="G36" s="226" t="s">
        <v>234</v>
      </c>
    </row>
    <row r="37" spans="1:7" s="226" customFormat="1" ht="12.75">
      <c r="A37" s="226" t="s">
        <v>235</v>
      </c>
      <c r="D37" s="226" t="s">
        <v>236</v>
      </c>
      <c r="E37" s="226" t="s">
        <v>237</v>
      </c>
      <c r="G37" s="226" t="s">
        <v>238</v>
      </c>
    </row>
    <row r="38" spans="1:7" s="226" customFormat="1" ht="12.75">
      <c r="A38" s="226" t="s">
        <v>239</v>
      </c>
      <c r="D38" s="226" t="s">
        <v>240</v>
      </c>
      <c r="E38" s="226" t="s">
        <v>241</v>
      </c>
      <c r="G38" s="226" t="s">
        <v>242</v>
      </c>
    </row>
    <row r="39" spans="1:7" s="226" customFormat="1" ht="12.75">
      <c r="A39" s="226" t="s">
        <v>243</v>
      </c>
      <c r="D39" s="226" t="s">
        <v>244</v>
      </c>
      <c r="E39" s="226" t="s">
        <v>245</v>
      </c>
      <c r="G39" s="226" t="s">
        <v>246</v>
      </c>
    </row>
    <row r="40" spans="1:7" s="226" customFormat="1" ht="12.75">
      <c r="A40" s="241" t="s">
        <v>247</v>
      </c>
      <c r="D40" s="226" t="s">
        <v>248</v>
      </c>
      <c r="E40" s="226" t="s">
        <v>249</v>
      </c>
      <c r="G40" s="226" t="s">
        <v>254</v>
      </c>
    </row>
    <row r="41" spans="1:7" s="226" customFormat="1" ht="12.75">
      <c r="A41" s="226" t="s">
        <v>255</v>
      </c>
      <c r="D41" s="226" t="s">
        <v>256</v>
      </c>
      <c r="E41" s="226" t="s">
        <v>257</v>
      </c>
      <c r="G41" s="226" t="s">
        <v>258</v>
      </c>
    </row>
    <row r="42" spans="4:8" s="226" customFormat="1" ht="12.75">
      <c r="D42" s="226" t="s">
        <v>259</v>
      </c>
      <c r="E42" s="226" t="s">
        <v>260</v>
      </c>
      <c r="H42" s="225"/>
    </row>
    <row r="43" s="226" customFormat="1" ht="12.75">
      <c r="H43" s="225"/>
    </row>
    <row r="44" s="226" customFormat="1" ht="12.75">
      <c r="H44" s="225"/>
    </row>
    <row r="45" s="226" customFormat="1" ht="12.75">
      <c r="H45" s="225"/>
    </row>
    <row r="46" spans="4:8" s="226" customFormat="1" ht="12.75">
      <c r="D46" s="226">
        <f>LEN(B2)</f>
        <v>42</v>
      </c>
      <c r="H46" s="225"/>
    </row>
    <row r="47" spans="2:8" s="226" customFormat="1" ht="12.75">
      <c r="B47" s="226">
        <f>CONCATENATE("")</f>
      </c>
      <c r="D47" s="226">
        <f>FIND(" ",B2,40)</f>
        <v>42</v>
      </c>
      <c r="H47" s="225"/>
    </row>
    <row r="48" spans="4:8" s="226" customFormat="1" ht="18" customHeight="1">
      <c r="D48" s="242" t="str">
        <f>IF(D46&lt;50,B2,LEFT(B2,D47))</f>
        <v>Три тысячи шестьсот девяносто пять рублей </v>
      </c>
      <c r="H48" s="225"/>
    </row>
    <row r="49" spans="4:8" ht="12.75">
      <c r="D49" s="210" t="str">
        <f>IF(D46&lt;50," ",MID(B2,(D47+1),200))</f>
        <v> </v>
      </c>
      <c r="H49" s="210"/>
    </row>
    <row r="50" ht="12.75">
      <c r="D50" s="210">
        <f>FIND(" ",B2,20)</f>
        <v>20</v>
      </c>
    </row>
    <row r="51" ht="12.75">
      <c r="D51" s="210" t="str">
        <f>IF(D46&lt;40,B2,LEFT(B2,D50))</f>
        <v>Три тысячи шестьсот </v>
      </c>
    </row>
    <row r="52" ht="12.75">
      <c r="D52" s="210" t="str">
        <f>IF(D46&lt;40,"",MID(B2,(D50+1),200))</f>
        <v>девяносто пять рублей </v>
      </c>
    </row>
    <row r="96" spans="1:4" ht="12.75">
      <c r="A96" s="520"/>
      <c r="B96" s="520"/>
      <c r="C96" s="520"/>
      <c r="D96" s="520"/>
    </row>
  </sheetData>
  <sheetProtection/>
  <mergeCells count="3">
    <mergeCell ref="N2:O2"/>
    <mergeCell ref="K3:M3"/>
    <mergeCell ref="A96:D96"/>
  </mergeCells>
  <printOptions/>
  <pageMargins left="0.75" right="0.75" top="1" bottom="1" header="0.5" footer="0.5"/>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shimanovich</dc:creator>
  <cp:keywords/>
  <dc:description/>
  <cp:lastModifiedBy>Козарез Алексей</cp:lastModifiedBy>
  <cp:lastPrinted>2020-10-14T14:06:19Z</cp:lastPrinted>
  <dcterms:created xsi:type="dcterms:W3CDTF">2013-11-15T08:39:09Z</dcterms:created>
  <dcterms:modified xsi:type="dcterms:W3CDTF">2021-03-17T10:19:37Z</dcterms:modified>
  <cp:category/>
  <cp:version/>
  <cp:contentType/>
  <cp:contentStatus/>
</cp:coreProperties>
</file>