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firstSheet="1" activeTab="1"/>
  </bookViews>
  <sheets>
    <sheet name="Лист1" sheetId="1" state="hidden" r:id="rId1"/>
    <sheet name="Объявление" sheetId="2" r:id="rId2"/>
  </sheets>
  <definedNames>
    <definedName name="номер_месяца" localSheetId="1">'Объявление'!$B$149</definedName>
    <definedName name="номер_месяца">#REF!</definedName>
    <definedName name="_xlnm.Print_Area" localSheetId="1">'Объявление'!$C$10:$AK$84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SH</author>
  </authors>
  <commentList>
    <comment ref="AK3" authorId="0">
      <text>
        <r>
          <rPr>
            <b/>
            <sz val="8"/>
            <rFont val="Tahoma"/>
            <family val="2"/>
          </rPr>
          <t>с изменениями, внесенными постановлением Правления Национального банка Республики Беларусь от 27 мая 2019 г. № 228</t>
        </r>
      </text>
    </comment>
  </commentList>
</comments>
</file>

<file path=xl/sharedStrings.xml><?xml version="1.0" encoding="utf-8"?>
<sst xmlns="http://schemas.openxmlformats.org/spreadsheetml/2006/main" count="135" uniqueCount="95">
  <si>
    <t>Приложение 10</t>
  </si>
  <si>
    <t>ОБЪЯВЛЕНИЕ №</t>
  </si>
  <si>
    <t>на взнос наличными</t>
  </si>
  <si>
    <t>От кого</t>
  </si>
  <si>
    <t xml:space="preserve">Для зачисления на счет № </t>
  </si>
  <si>
    <t>Банк получателя</t>
  </si>
  <si>
    <t>Получатель</t>
  </si>
  <si>
    <t>Сумма</t>
  </si>
  <si>
    <t>прописью</t>
  </si>
  <si>
    <t>Сумма цифрами</t>
  </si>
  <si>
    <t>Назначение взноса</t>
  </si>
  <si>
    <t>Ответственный исполнитель</t>
  </si>
  <si>
    <t>Подпись вносителя</t>
  </si>
  <si>
    <t>Деньги принял кассир</t>
  </si>
  <si>
    <t>КВИТАНЦИЯ №</t>
  </si>
  <si>
    <t>ОРДЕР №</t>
  </si>
  <si>
    <t>ДЕБЕТ</t>
  </si>
  <si>
    <t>Счет №</t>
  </si>
  <si>
    <t>Общая</t>
  </si>
  <si>
    <t>КРЕДИТ</t>
  </si>
  <si>
    <t>частные</t>
  </si>
  <si>
    <t>код</t>
  </si>
  <si>
    <t>Назначение платежа</t>
  </si>
  <si>
    <t>Код</t>
  </si>
  <si>
    <t>Кассир</t>
  </si>
  <si>
    <t>к Инструкции по организации</t>
  </si>
  <si>
    <t>кассовой работы в банках и</t>
  </si>
  <si>
    <t>небанковских кредитно-финансовых</t>
  </si>
  <si>
    <t>21.12.2006 № 211</t>
  </si>
  <si>
    <t>УНП*</t>
  </si>
  <si>
    <t>(код отчетного данного)</t>
  </si>
  <si>
    <t>(фамилия, собственное имя, отчество (при наличии), место жительства и (или) место пребывания</t>
  </si>
  <si>
    <t>или реквизиты документа, удостоверяющего личность вносителя</t>
  </si>
  <si>
    <t>(вид, серия и номер, дата выдачи, орган, выдавший документ), либо его идентификационный номер)**</t>
  </si>
  <si>
    <t xml:space="preserve">М.П.  </t>
  </si>
  <si>
    <t>* Заполняется индивидуальными предпринимателями в случаях, предусмотренных законодательством.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</si>
  <si>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</si>
  <si>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</si>
  <si>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</si>
  <si>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</si>
  <si>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</si>
  <si>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</si>
  <si>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</si>
  <si>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</si>
  <si>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</si>
  <si>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</si>
  <si>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</si>
  <si>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</si>
  <si>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</si>
  <si>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</si>
  <si>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</si>
  <si>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</si>
  <si>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</si>
  <si>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</si>
  <si>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</si>
  <si>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</si>
  <si>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</si>
  <si>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</si>
  <si>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</si>
  <si>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</si>
  <si>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</si>
  <si>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</si>
  <si>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</si>
  <si>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</si>
  <si>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</si>
  <si>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</si>
  <si>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</si>
  <si>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</si>
  <si>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</si>
  <si>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</si>
  <si>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</si>
  <si>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</si>
  <si>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</si>
  <si>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</si>
  <si>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</si>
  <si>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</si>
  <si>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</si>
  <si>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</si>
  <si>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</si>
  <si>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</si>
  <si>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получателя</t>
  </si>
  <si>
    <t xml:space="preserve">Банк </t>
  </si>
  <si>
    <t>** Фамилия, собственное имя, отчество (при наличии), место жительства и (или) место пребывания или реквизиты документа, удостоверяющего личность вносителя (вид, серия и номер, дата выдачи, орган, выдавший документ), либо его идентификационный номер заполн</t>
  </si>
  <si>
    <t>ноль для копеек</t>
  </si>
  <si>
    <t xml:space="preserve"> копейка</t>
  </si>
  <si>
    <t xml:space="preserve"> белорусский рубль</t>
  </si>
  <si>
    <t xml:space="preserve"> копейки</t>
  </si>
  <si>
    <t xml:space="preserve"> белорусских рубля</t>
  </si>
  <si>
    <t xml:space="preserve"> копеек</t>
  </si>
  <si>
    <t xml:space="preserve"> белорусских рублей</t>
  </si>
  <si>
    <t xml:space="preserve"> рубль</t>
  </si>
  <si>
    <t xml:space="preserve"> рубля</t>
  </si>
  <si>
    <t xml:space="preserve"> рублей</t>
  </si>
  <si>
    <t>Форма действует с 13.06.2019 года</t>
  </si>
  <si>
    <t>организациях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</si>
</sst>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  <numFmt numFmtId="184" formatCode="[$-FC19]d\ mmmm\ yyyy\ &quot;г.&quot;"/>
    <numFmt numFmtId="185" formatCode="[$-F800]dddd\,\ mmmm\ dd\,\ yyyy"/>
    <numFmt numFmtId="186" formatCode="[$-FC19]\d\ \m\m\m\m\ \y\y\y\y\ &quot;г.&quot;"/>
  </numFmts>
  <fonts count="58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indexed="10"/>
      <name val="Arial Cyr"/>
      <family val="0"/>
    </font>
    <font>
      <b/>
      <sz val="12"/>
      <color indexed="10"/>
      <name val="Arial Cyr"/>
      <family val="2"/>
    </font>
    <font>
      <sz val="8"/>
      <color indexed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Times New Roman"/>
      <family val="1"/>
    </font>
    <font>
      <sz val="9"/>
      <color indexed="10"/>
      <name val="Arial Cyr"/>
      <family val="2"/>
    </font>
    <font>
      <u val="single"/>
      <sz val="10"/>
      <color indexed="10"/>
      <name val="Arial Cyr"/>
      <family val="0"/>
    </font>
    <font>
      <sz val="10"/>
      <name val="Helv"/>
      <family val="2"/>
    </font>
    <font>
      <sz val="8"/>
      <color indexed="43"/>
      <name val="Tahoma"/>
      <family val="2"/>
    </font>
    <font>
      <sz val="11"/>
      <color indexed="43"/>
      <name val="Times New Roman"/>
      <family val="1"/>
    </font>
    <font>
      <sz val="10.5"/>
      <color indexed="43"/>
      <name val="Times New Roman"/>
      <family val="1"/>
    </font>
    <font>
      <sz val="10"/>
      <color indexed="43"/>
      <name val="Times New Roman"/>
      <family val="1"/>
    </font>
    <font>
      <sz val="12"/>
      <color indexed="4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6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1" fillId="35" borderId="0" xfId="0" applyNumberFormat="1" applyFont="1" applyFill="1" applyBorder="1" applyAlignment="1" applyProtection="1">
      <alignment vertical="center"/>
      <protection/>
    </xf>
    <xf numFmtId="0" fontId="1" fillId="35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1" fillId="35" borderId="0" xfId="0" applyNumberFormat="1" applyFont="1" applyFill="1" applyBorder="1" applyAlignment="1" applyProtection="1">
      <alignment vertical="center"/>
      <protection locked="0"/>
    </xf>
    <xf numFmtId="0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left" vertical="center"/>
      <protection locked="0"/>
    </xf>
    <xf numFmtId="0" fontId="7" fillId="34" borderId="0" xfId="0" applyNumberFormat="1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0" applyNumberFormat="1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0" xfId="0" applyNumberFormat="1" applyFont="1" applyFill="1" applyBorder="1" applyAlignment="1" applyProtection="1">
      <alignment horizontal="left" vertical="center"/>
      <protection locked="0"/>
    </xf>
    <xf numFmtId="0" fontId="8" fillId="34" borderId="0" xfId="0" applyNumberFormat="1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vertical="top"/>
      <protection locked="0"/>
    </xf>
    <xf numFmtId="0" fontId="1" fillId="34" borderId="0" xfId="0" applyNumberFormat="1" applyFont="1" applyFill="1" applyAlignment="1" applyProtection="1">
      <alignment horizontal="left" vertical="center"/>
      <protection locked="0"/>
    </xf>
    <xf numFmtId="0" fontId="4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NumberFormat="1" applyFont="1" applyFill="1" applyAlignment="1" applyProtection="1">
      <alignment horizontal="right" vertical="center"/>
      <protection locked="0"/>
    </xf>
    <xf numFmtId="0" fontId="4" fillId="35" borderId="0" xfId="0" applyNumberFormat="1" applyFont="1" applyFill="1" applyBorder="1" applyAlignment="1" applyProtection="1">
      <alignment horizontal="right" vertical="center"/>
      <protection/>
    </xf>
    <xf numFmtId="0" fontId="4" fillId="35" borderId="0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8" xfId="0" applyNumberFormat="1" applyFont="1" applyFill="1" applyBorder="1" applyAlignment="1" applyProtection="1">
      <alignment vertical="center"/>
      <protection locked="0"/>
    </xf>
    <xf numFmtId="0" fontId="4" fillId="34" borderId="19" xfId="0" applyNumberFormat="1" applyFont="1" applyFill="1" applyBorder="1" applyAlignment="1" applyProtection="1">
      <alignment vertical="center"/>
      <protection locked="0"/>
    </xf>
    <xf numFmtId="0" fontId="1" fillId="34" borderId="19" xfId="0" applyNumberFormat="1" applyFont="1" applyFill="1" applyBorder="1" applyAlignment="1" applyProtection="1">
      <alignment vertical="center"/>
      <protection locked="0"/>
    </xf>
    <xf numFmtId="0" fontId="5" fillId="34" borderId="0" xfId="0" applyNumberFormat="1" applyFont="1" applyFill="1" applyBorder="1" applyAlignment="1" applyProtection="1">
      <alignment vertical="center"/>
      <protection locked="0"/>
    </xf>
    <xf numFmtId="0" fontId="1" fillId="34" borderId="18" xfId="0" applyNumberFormat="1" applyFont="1" applyFill="1" applyBorder="1" applyAlignment="1" applyProtection="1">
      <alignment horizontal="left" vertical="center"/>
      <protection locked="0"/>
    </xf>
    <xf numFmtId="0" fontId="5" fillId="34" borderId="0" xfId="0" applyNumberFormat="1" applyFont="1" applyFill="1" applyBorder="1" applyAlignment="1" applyProtection="1">
      <alignment vertical="top"/>
      <protection locked="0"/>
    </xf>
    <xf numFmtId="0" fontId="1" fillId="34" borderId="0" xfId="0" applyFont="1" applyFill="1" applyAlignment="1" applyProtection="1">
      <alignment horizontal="left" vertical="center"/>
      <protection hidden="1"/>
    </xf>
    <xf numFmtId="0" fontId="5" fillId="34" borderId="0" xfId="0" applyNumberFormat="1" applyFont="1" applyFill="1" applyBorder="1" applyAlignment="1" applyProtection="1">
      <alignment horizontal="left" vertical="center" indent="1"/>
      <protection locked="0"/>
    </xf>
    <xf numFmtId="0" fontId="1" fillId="34" borderId="20" xfId="0" applyNumberFormat="1" applyFont="1" applyFill="1" applyBorder="1" applyAlignment="1" applyProtection="1">
      <alignment vertical="center"/>
      <protection locked="0"/>
    </xf>
    <xf numFmtId="0" fontId="1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20" xfId="0" applyNumberFormat="1" applyFont="1" applyFill="1" applyBorder="1" applyAlignment="1" applyProtection="1">
      <alignment horizontal="left" vertical="center"/>
      <protection locked="0"/>
    </xf>
    <xf numFmtId="0" fontId="1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21" xfId="0" applyNumberFormat="1" applyFont="1" applyFill="1" applyBorder="1" applyAlignment="1" applyProtection="1">
      <alignment vertical="center"/>
      <protection locked="0"/>
    </xf>
    <xf numFmtId="0" fontId="1" fillId="34" borderId="21" xfId="0" applyNumberFormat="1" applyFont="1" applyFill="1" applyBorder="1" applyAlignment="1" applyProtection="1">
      <alignment horizontal="center" vertical="center"/>
      <protection locked="0"/>
    </xf>
    <xf numFmtId="0" fontId="1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35" borderId="0" xfId="54" applyNumberFormat="1" applyFont="1" applyFill="1" applyProtection="1">
      <alignment/>
      <protection hidden="1"/>
    </xf>
    <xf numFmtId="0" fontId="10" fillId="35" borderId="0" xfId="54" applyNumberFormat="1" applyFont="1" applyFill="1" applyBorder="1" applyProtection="1">
      <alignment/>
      <protection hidden="1"/>
    </xf>
    <xf numFmtId="4" fontId="11" fillId="35" borderId="0" xfId="54" applyNumberFormat="1" applyFont="1" applyFill="1" applyBorder="1" applyAlignment="1" applyProtection="1">
      <alignment horizontal="right"/>
      <protection hidden="1"/>
    </xf>
    <xf numFmtId="0" fontId="10" fillId="35" borderId="0" xfId="54" applyNumberFormat="1" applyFont="1" applyFill="1" applyAlignment="1" applyProtection="1">
      <alignment horizontal="left"/>
      <protection hidden="1"/>
    </xf>
    <xf numFmtId="0" fontId="12" fillId="35" borderId="0" xfId="54" applyNumberFormat="1" applyFont="1" applyFill="1" applyProtection="1">
      <alignment/>
      <protection hidden="1"/>
    </xf>
    <xf numFmtId="0" fontId="13" fillId="35" borderId="0" xfId="54" applyNumberFormat="1" applyFont="1" applyFill="1" applyProtection="1">
      <alignment/>
      <protection hidden="1"/>
    </xf>
    <xf numFmtId="4" fontId="11" fillId="35" borderId="0" xfId="54" applyNumberFormat="1" applyFont="1" applyFill="1" applyAlignment="1" applyProtection="1">
      <alignment horizontal="right"/>
      <protection hidden="1"/>
    </xf>
    <xf numFmtId="0" fontId="14" fillId="35" borderId="0" xfId="54" applyFont="1" applyFill="1" applyProtection="1">
      <alignment/>
      <protection hidden="1"/>
    </xf>
    <xf numFmtId="0" fontId="10" fillId="35" borderId="0" xfId="54" applyFont="1" applyFill="1" applyProtection="1">
      <alignment/>
      <protection hidden="1"/>
    </xf>
    <xf numFmtId="0" fontId="10" fillId="35" borderId="0" xfId="54" applyFont="1" applyFill="1" applyAlignment="1" applyProtection="1">
      <alignment horizontal="left"/>
      <protection hidden="1"/>
    </xf>
    <xf numFmtId="0" fontId="10" fillId="35" borderId="0" xfId="54" applyFont="1" applyFill="1" applyAlignment="1" applyProtection="1">
      <alignment horizontal="center"/>
      <protection hidden="1"/>
    </xf>
    <xf numFmtId="0" fontId="13" fillId="35" borderId="0" xfId="54" applyNumberFormat="1" applyFont="1" applyFill="1" applyProtection="1">
      <alignment/>
      <protection hidden="1"/>
    </xf>
    <xf numFmtId="176" fontId="10" fillId="35" borderId="0" xfId="54" applyNumberFormat="1" applyFont="1" applyFill="1" applyBorder="1" applyAlignment="1" applyProtection="1">
      <alignment horizontal="left"/>
      <protection hidden="1"/>
    </xf>
    <xf numFmtId="0" fontId="12" fillId="35" borderId="0" xfId="54" applyNumberFormat="1" applyFont="1" applyFill="1" applyProtection="1">
      <alignment/>
      <protection hidden="1"/>
    </xf>
    <xf numFmtId="0" fontId="10" fillId="35" borderId="0" xfId="54" applyNumberFormat="1" applyFont="1" applyFill="1" applyAlignment="1" applyProtection="1">
      <alignment horizontal="right"/>
      <protection hidden="1"/>
    </xf>
    <xf numFmtId="0" fontId="10" fillId="35" borderId="0" xfId="54" applyNumberFormat="1" applyFont="1" applyFill="1" applyAlignment="1" applyProtection="1">
      <alignment horizontal="right"/>
      <protection hidden="1"/>
    </xf>
    <xf numFmtId="0" fontId="10" fillId="35" borderId="0" xfId="54" applyNumberFormat="1" applyFont="1" applyFill="1" applyProtection="1">
      <alignment/>
      <protection hidden="1"/>
    </xf>
    <xf numFmtId="0" fontId="13" fillId="35" borderId="0" xfId="54" applyNumberFormat="1" applyFont="1" applyFill="1" applyAlignment="1" applyProtection="1">
      <alignment horizontal="center"/>
      <protection hidden="1"/>
    </xf>
    <xf numFmtId="183" fontId="10" fillId="35" borderId="0" xfId="54" applyNumberFormat="1" applyFont="1" applyFill="1" applyProtection="1">
      <alignment/>
      <protection hidden="1"/>
    </xf>
    <xf numFmtId="2" fontId="10" fillId="35" borderId="0" xfId="54" applyNumberFormat="1" applyFont="1" applyFill="1" applyAlignment="1" applyProtection="1">
      <alignment horizontal="right"/>
      <protection hidden="1"/>
    </xf>
    <xf numFmtId="22" fontId="10" fillId="35" borderId="0" xfId="54" applyNumberFormat="1" applyFont="1" applyFill="1" applyProtection="1">
      <alignment/>
      <protection hidden="1"/>
    </xf>
    <xf numFmtId="0" fontId="12" fillId="35" borderId="0" xfId="54" applyNumberFormat="1" applyFont="1" applyFill="1" applyAlignment="1" applyProtection="1">
      <alignment shrinkToFit="1"/>
      <protection hidden="1"/>
    </xf>
    <xf numFmtId="0" fontId="10" fillId="35" borderId="0" xfId="54" applyNumberFormat="1" applyFont="1" applyFill="1" applyAlignment="1" applyProtection="1">
      <alignment horizontal="left"/>
      <protection hidden="1"/>
    </xf>
    <xf numFmtId="14" fontId="10" fillId="35" borderId="0" xfId="54" applyNumberFormat="1" applyFont="1" applyFill="1" applyProtection="1">
      <alignment/>
      <protection hidden="1"/>
    </xf>
    <xf numFmtId="4" fontId="10" fillId="35" borderId="0" xfId="54" applyNumberFormat="1" applyFont="1" applyFill="1" applyAlignment="1" applyProtection="1">
      <alignment horizontal="right"/>
      <protection hidden="1"/>
    </xf>
    <xf numFmtId="22" fontId="10" fillId="35" borderId="0" xfId="54" applyNumberFormat="1" applyFont="1" applyFill="1" applyProtection="1">
      <alignment/>
      <protection hidden="1"/>
    </xf>
    <xf numFmtId="4" fontId="10" fillId="35" borderId="0" xfId="54" applyNumberFormat="1" applyFont="1" applyFill="1" applyAlignment="1" applyProtection="1">
      <alignment horizontal="left"/>
      <protection hidden="1"/>
    </xf>
    <xf numFmtId="0" fontId="15" fillId="35" borderId="0" xfId="54" applyNumberFormat="1" applyFont="1" applyFill="1" applyProtection="1">
      <alignment/>
      <protection hidden="1"/>
    </xf>
    <xf numFmtId="0" fontId="15" fillId="35" borderId="0" xfId="54" applyNumberFormat="1" applyFont="1" applyFill="1" applyAlignment="1" applyProtection="1">
      <alignment shrinkToFit="1"/>
      <protection hidden="1"/>
    </xf>
    <xf numFmtId="3" fontId="10" fillId="35" borderId="0" xfId="54" applyNumberFormat="1" applyFont="1" applyFill="1" applyProtection="1">
      <alignment/>
      <protection hidden="1"/>
    </xf>
    <xf numFmtId="1" fontId="10" fillId="35" borderId="0" xfId="54" applyNumberFormat="1" applyFont="1" applyFill="1" applyAlignment="1" applyProtection="1">
      <alignment horizontal="right"/>
      <protection hidden="1"/>
    </xf>
    <xf numFmtId="0" fontId="10" fillId="35" borderId="0" xfId="54" applyNumberFormat="1" applyFont="1" applyFill="1" applyBorder="1" applyProtection="1">
      <alignment/>
      <protection hidden="1"/>
    </xf>
    <xf numFmtId="0" fontId="10" fillId="35" borderId="0" xfId="54" applyNumberFormat="1" applyFont="1" applyFill="1" applyAlignment="1" applyProtection="1">
      <alignment vertical="top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horizontal="left" vertical="center"/>
      <protection hidden="1"/>
    </xf>
    <xf numFmtId="1" fontId="1" fillId="34" borderId="22" xfId="0" applyNumberFormat="1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hidden="1"/>
    </xf>
    <xf numFmtId="0" fontId="18" fillId="33" borderId="0" xfId="0" applyFont="1" applyFill="1" applyAlignment="1" applyProtection="1">
      <alignment horizontal="left" vertical="center"/>
      <protection hidden="1"/>
    </xf>
    <xf numFmtId="0" fontId="19" fillId="36" borderId="0" xfId="0" applyFont="1" applyFill="1" applyBorder="1" applyAlignment="1" applyProtection="1">
      <alignment/>
      <protection locked="0"/>
    </xf>
    <xf numFmtId="2" fontId="19" fillId="36" borderId="0" xfId="0" applyNumberFormat="1" applyFont="1" applyFill="1" applyBorder="1" applyAlignment="1" applyProtection="1">
      <alignment/>
      <protection locked="0"/>
    </xf>
    <xf numFmtId="0" fontId="19" fillId="36" borderId="0" xfId="0" applyFont="1" applyFill="1" applyBorder="1" applyAlignment="1" applyProtection="1">
      <alignment/>
      <protection/>
    </xf>
    <xf numFmtId="0" fontId="20" fillId="36" borderId="0" xfId="0" applyFont="1" applyFill="1" applyBorder="1" applyAlignment="1" applyProtection="1">
      <alignment/>
      <protection/>
    </xf>
    <xf numFmtId="4" fontId="20" fillId="36" borderId="0" xfId="0" applyNumberFormat="1" applyFont="1" applyFill="1" applyBorder="1" applyAlignment="1" applyProtection="1">
      <alignment/>
      <protection/>
    </xf>
    <xf numFmtId="0" fontId="21" fillId="36" borderId="0" xfId="0" applyFont="1" applyFill="1" applyBorder="1" applyAlignment="1" applyProtection="1">
      <alignment/>
      <protection/>
    </xf>
    <xf numFmtId="3" fontId="20" fillId="36" borderId="0" xfId="0" applyNumberFormat="1" applyFont="1" applyFill="1" applyBorder="1" applyAlignment="1" applyProtection="1">
      <alignment horizontal="right"/>
      <protection/>
    </xf>
    <xf numFmtId="3" fontId="20" fillId="36" borderId="0" xfId="0" applyNumberFormat="1" applyFont="1" applyFill="1" applyBorder="1" applyAlignment="1" applyProtection="1">
      <alignment/>
      <protection/>
    </xf>
    <xf numFmtId="1" fontId="20" fillId="36" borderId="0" xfId="0" applyNumberFormat="1" applyFont="1" applyFill="1" applyBorder="1" applyAlignment="1" applyProtection="1">
      <alignment horizontal="right"/>
      <protection/>
    </xf>
    <xf numFmtId="0" fontId="20" fillId="36" borderId="0" xfId="0" applyFont="1" applyFill="1" applyBorder="1" applyAlignment="1" applyProtection="1">
      <alignment horizontal="right"/>
      <protection/>
    </xf>
    <xf numFmtId="0" fontId="22" fillId="36" borderId="0" xfId="53" applyFont="1" applyFill="1" applyBorder="1" applyAlignment="1" applyProtection="1">
      <alignment horizontal="right" vertical="top"/>
      <protection/>
    </xf>
    <xf numFmtId="0" fontId="22" fillId="36" borderId="0" xfId="53" applyFont="1" applyFill="1" applyBorder="1" applyAlignment="1" applyProtection="1">
      <alignment vertical="top"/>
      <protection/>
    </xf>
    <xf numFmtId="0" fontId="22" fillId="36" borderId="0" xfId="53" applyFont="1" applyFill="1" applyBorder="1" applyAlignment="1" applyProtection="1">
      <alignment horizontal="right" vertical="center"/>
      <protection/>
    </xf>
    <xf numFmtId="0" fontId="22" fillId="36" borderId="0" xfId="53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wrapText="1"/>
      <protection locked="0"/>
    </xf>
    <xf numFmtId="0" fontId="4" fillId="35" borderId="23" xfId="0" applyNumberFormat="1" applyFont="1" applyFill="1" applyBorder="1" applyAlignment="1" applyProtection="1">
      <alignment vertical="center"/>
      <protection locked="0"/>
    </xf>
    <xf numFmtId="0" fontId="4" fillId="35" borderId="24" xfId="0" applyNumberFormat="1" applyFont="1" applyFill="1" applyBorder="1" applyAlignment="1" applyProtection="1">
      <alignment vertical="center"/>
      <protection locked="0"/>
    </xf>
    <xf numFmtId="0" fontId="1" fillId="34" borderId="25" xfId="0" applyNumberFormat="1" applyFont="1" applyFill="1" applyBorder="1" applyAlignment="1" applyProtection="1">
      <alignment vertical="center"/>
      <protection locked="0"/>
    </xf>
    <xf numFmtId="0" fontId="4" fillId="34" borderId="26" xfId="0" applyNumberFormat="1" applyFont="1" applyFill="1" applyBorder="1" applyAlignment="1" applyProtection="1">
      <alignment wrapText="1"/>
      <protection locked="0"/>
    </xf>
    <xf numFmtId="0" fontId="1" fillId="34" borderId="26" xfId="0" applyFont="1" applyFill="1" applyBorder="1" applyAlignment="1" applyProtection="1">
      <alignment horizontal="left" vertical="center"/>
      <protection hidden="1"/>
    </xf>
    <xf numFmtId="0" fontId="1" fillId="34" borderId="18" xfId="0" applyFont="1" applyFill="1" applyBorder="1" applyAlignment="1" applyProtection="1">
      <alignment horizontal="left" vertical="center"/>
      <protection hidden="1"/>
    </xf>
    <xf numFmtId="14" fontId="11" fillId="35" borderId="0" xfId="54" applyNumberFormat="1" applyFont="1" applyFill="1" applyAlignment="1" applyProtection="1">
      <alignment horizontal="center"/>
      <protection hidden="1"/>
    </xf>
    <xf numFmtId="176" fontId="10" fillId="35" borderId="0" xfId="54" applyNumberFormat="1" applyFont="1" applyFill="1" applyBorder="1" applyAlignment="1" applyProtection="1">
      <alignment horizontal="left"/>
      <protection hidden="1"/>
    </xf>
    <xf numFmtId="0" fontId="16" fillId="35" borderId="0" xfId="42" applyNumberFormat="1" applyFont="1" applyFill="1" applyAlignment="1" applyProtection="1">
      <alignment/>
      <protection hidden="1"/>
    </xf>
    <xf numFmtId="0" fontId="1" fillId="34" borderId="27" xfId="0" applyNumberFormat="1" applyFont="1" applyFill="1" applyBorder="1" applyAlignment="1" applyProtection="1">
      <alignment horizontal="center" vertical="center"/>
      <protection locked="0"/>
    </xf>
    <xf numFmtId="0" fontId="7" fillId="34" borderId="18" xfId="0" applyNumberFormat="1" applyFont="1" applyFill="1" applyBorder="1" applyAlignment="1" applyProtection="1">
      <alignment horizontal="center" vertical="center"/>
      <protection locked="0"/>
    </xf>
    <xf numFmtId="185" fontId="4" fillId="34" borderId="20" xfId="0" applyNumberFormat="1" applyFont="1" applyFill="1" applyBorder="1" applyAlignment="1" applyProtection="1">
      <alignment horizontal="center"/>
      <protection locked="0"/>
    </xf>
    <xf numFmtId="0" fontId="4" fillId="35" borderId="28" xfId="0" applyNumberFormat="1" applyFont="1" applyFill="1" applyBorder="1" applyAlignment="1" applyProtection="1">
      <alignment horizontal="center" vertical="center"/>
      <protection locked="0"/>
    </xf>
    <xf numFmtId="0" fontId="4" fillId="35" borderId="29" xfId="0" applyNumberFormat="1" applyFont="1" applyFill="1" applyBorder="1" applyAlignment="1" applyProtection="1">
      <alignment horizontal="center" vertical="center"/>
      <protection locked="0"/>
    </xf>
    <xf numFmtId="0" fontId="4" fillId="35" borderId="3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 applyProtection="1">
      <alignment horizontal="center" vertical="top"/>
      <protection locked="0"/>
    </xf>
    <xf numFmtId="0" fontId="1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1" fontId="4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/>
      <protection hidden="1"/>
    </xf>
    <xf numFmtId="0" fontId="4" fillId="34" borderId="25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NumberFormat="1" applyFont="1" applyFill="1" applyBorder="1" applyAlignment="1" applyProtection="1">
      <alignment horizontal="center" vertical="center"/>
      <protection locked="0"/>
    </xf>
    <xf numFmtId="0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NumberFormat="1" applyFont="1" applyFill="1" applyAlignment="1" applyProtection="1">
      <alignment horizontal="right" vertical="center"/>
      <protection locked="0"/>
    </xf>
    <xf numFmtId="0" fontId="1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18" xfId="0" applyNumberFormat="1" applyFont="1" applyFill="1" applyBorder="1" applyAlignment="1" applyProtection="1">
      <alignment horizontal="left" vertical="center"/>
      <protection locked="0"/>
    </xf>
    <xf numFmtId="0" fontId="1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2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33" xfId="0" applyNumberFormat="1" applyFont="1" applyFill="1" applyBorder="1" applyAlignment="1" applyProtection="1">
      <alignment horizontal="center" vertical="center"/>
      <protection locked="0"/>
    </xf>
    <xf numFmtId="4" fontId="4" fillId="34" borderId="0" xfId="0" applyNumberFormat="1" applyFont="1" applyFill="1" applyBorder="1" applyAlignment="1" applyProtection="1">
      <alignment horizontal="center" vertical="center"/>
      <protection locked="0"/>
    </xf>
    <xf numFmtId="4" fontId="4" fillId="34" borderId="19" xfId="0" applyNumberFormat="1" applyFont="1" applyFill="1" applyBorder="1" applyAlignment="1" applyProtection="1">
      <alignment horizontal="center" vertical="center"/>
      <protection locked="0"/>
    </xf>
    <xf numFmtId="0" fontId="4" fillId="35" borderId="0" xfId="0" applyNumberFormat="1" applyFont="1" applyFill="1" applyBorder="1" applyAlignment="1" applyProtection="1">
      <alignment horizontal="left" wrapText="1"/>
      <protection locked="0"/>
    </xf>
    <xf numFmtId="0" fontId="4" fillId="35" borderId="18" xfId="0" applyNumberFormat="1" applyFont="1" applyFill="1" applyBorder="1" applyAlignment="1" applyProtection="1">
      <alignment horizontal="left" wrapText="1"/>
      <protection locked="0"/>
    </xf>
    <xf numFmtId="0" fontId="4" fillId="34" borderId="18" xfId="0" applyNumberFormat="1" applyFont="1" applyFill="1" applyBorder="1" applyAlignment="1" applyProtection="1">
      <alignment horizontal="left" vertical="center"/>
      <protection locked="0"/>
    </xf>
    <xf numFmtId="0" fontId="1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26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34" xfId="0" applyNumberFormat="1" applyFont="1" applyFill="1" applyBorder="1" applyAlignment="1" applyProtection="1">
      <alignment horizontal="center" vertical="center"/>
      <protection locked="0"/>
    </xf>
    <xf numFmtId="4" fontId="4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34" borderId="26" xfId="0" applyNumberFormat="1" applyFont="1" applyFill="1" applyBorder="1" applyAlignment="1" applyProtection="1">
      <alignment horizontal="left" vertical="center"/>
      <protection locked="0"/>
    </xf>
    <xf numFmtId="0" fontId="1" fillId="34" borderId="36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27" xfId="0" applyNumberFormat="1" applyFont="1" applyFill="1" applyBorder="1" applyAlignment="1" applyProtection="1">
      <alignment horizontal="center" vertical="center"/>
      <protection locked="0"/>
    </xf>
    <xf numFmtId="1" fontId="4" fillId="34" borderId="27" xfId="0" applyNumberFormat="1" applyFont="1" applyFill="1" applyBorder="1" applyAlignment="1" applyProtection="1">
      <alignment horizontal="center" vertical="center"/>
      <protection locked="0"/>
    </xf>
    <xf numFmtId="0" fontId="4" fillId="34" borderId="23" xfId="0" applyNumberFormat="1" applyFont="1" applyFill="1" applyBorder="1" applyAlignment="1" applyProtection="1">
      <alignment horizontal="left" wrapText="1"/>
      <protection locked="0"/>
    </xf>
    <xf numFmtId="0" fontId="4" fillId="34" borderId="0" xfId="0" applyNumberFormat="1" applyFont="1" applyFill="1" applyBorder="1" applyAlignment="1" applyProtection="1">
      <alignment horizontal="left" wrapText="1"/>
      <protection locked="0"/>
    </xf>
    <xf numFmtId="0" fontId="4" fillId="34" borderId="18" xfId="0" applyNumberFormat="1" applyFont="1" applyFill="1" applyBorder="1" applyAlignment="1" applyProtection="1">
      <alignment horizontal="left" wrapText="1"/>
      <protection locked="0"/>
    </xf>
    <xf numFmtId="0" fontId="4" fillId="35" borderId="0" xfId="0" applyNumberFormat="1" applyFont="1" applyFill="1" applyBorder="1" applyAlignment="1" applyProtection="1">
      <alignment horizontal="left" vertical="top" wrapText="1"/>
      <protection locked="0"/>
    </xf>
    <xf numFmtId="0" fontId="4" fillId="35" borderId="18" xfId="0" applyNumberFormat="1" applyFont="1" applyFill="1" applyBorder="1" applyAlignment="1" applyProtection="1">
      <alignment horizontal="left" vertical="top" wrapText="1"/>
      <protection locked="0"/>
    </xf>
    <xf numFmtId="0" fontId="1" fillId="34" borderId="26" xfId="0" applyFont="1" applyFill="1" applyBorder="1" applyAlignment="1" applyProtection="1">
      <alignment horizontal="center" vertical="center"/>
      <protection hidden="1"/>
    </xf>
    <xf numFmtId="0" fontId="1" fillId="34" borderId="31" xfId="0" applyFont="1" applyFill="1" applyBorder="1" applyAlignment="1" applyProtection="1">
      <alignment horizontal="center" vertical="center"/>
      <protection hidden="1"/>
    </xf>
    <xf numFmtId="0" fontId="7" fillId="34" borderId="36" xfId="0" applyNumberFormat="1" applyFont="1" applyFill="1" applyBorder="1" applyAlignment="1" applyProtection="1">
      <alignment horizontal="center" vertical="center"/>
      <protection locked="0"/>
    </xf>
    <xf numFmtId="0" fontId="7" fillId="34" borderId="23" xfId="0" applyNumberFormat="1" applyFont="1" applyFill="1" applyBorder="1" applyAlignment="1" applyProtection="1">
      <alignment horizontal="center" vertical="center"/>
      <protection locked="0"/>
    </xf>
    <xf numFmtId="0" fontId="7" fillId="34" borderId="24" xfId="0" applyNumberFormat="1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34" borderId="32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платежного поручения (сокращенного)" xfId="53"/>
    <cellStyle name="Обычный_ПС 112 электронный денежный перевод111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D50" sqref="D50"/>
    </sheetView>
  </sheetViews>
  <sheetFormatPr defaultColWidth="7.875" defaultRowHeight="12.75"/>
  <cols>
    <col min="1" max="1" width="14.625" style="54" customWidth="1"/>
    <col min="2" max="2" width="7.75390625" style="54" customWidth="1"/>
    <col min="3" max="3" width="5.625" style="54" customWidth="1"/>
    <col min="4" max="4" width="11.625" style="54" customWidth="1"/>
    <col min="5" max="5" width="19.75390625" style="54" customWidth="1"/>
    <col min="6" max="6" width="8.125" style="54" customWidth="1"/>
    <col min="7" max="7" width="7.875" style="54" customWidth="1"/>
    <col min="8" max="8" width="11.375" style="68" customWidth="1"/>
    <col min="9" max="9" width="8.75390625" style="54" bestFit="1" customWidth="1"/>
    <col min="10" max="12" width="7.875" style="54" customWidth="1"/>
    <col min="13" max="13" width="13.25390625" style="54" bestFit="1" customWidth="1"/>
    <col min="14" max="16" width="7.875" style="54" customWidth="1"/>
    <col min="17" max="17" width="13.25390625" style="54" bestFit="1" customWidth="1"/>
    <col min="18" max="16384" width="7.875" style="54" customWidth="1"/>
  </cols>
  <sheetData>
    <row r="1" spans="2:8" ht="15.75">
      <c r="B1" s="55"/>
      <c r="C1" s="55"/>
      <c r="D1" s="55"/>
      <c r="E1" s="56" t="e">
        <f>#REF!</f>
        <v>#REF!</v>
      </c>
      <c r="H1" s="57"/>
    </row>
    <row r="2" spans="1:19" ht="15.75">
      <c r="A2" s="58" t="s">
        <v>36</v>
      </c>
      <c r="B2" s="59" t="e">
        <f>SUBSTITUTE(B4,F8,F9,1)</f>
        <v>#REF!</v>
      </c>
      <c r="E2" s="60"/>
      <c r="H2" s="61"/>
      <c r="I2" s="62"/>
      <c r="J2" s="61"/>
      <c r="K2" s="61"/>
      <c r="L2" s="61"/>
      <c r="M2" s="63" t="s">
        <v>37</v>
      </c>
      <c r="N2" s="113">
        <f ca="1">TODAY()</f>
        <v>44272</v>
      </c>
      <c r="O2" s="113"/>
      <c r="P2" s="62">
        <f>DAY(N2)</f>
        <v>17</v>
      </c>
      <c r="Q2" s="64" t="str">
        <f>IF(Q3&gt;7,S2,S3)</f>
        <v>марта</v>
      </c>
      <c r="R2" s="63">
        <f>YEAR(N2)</f>
        <v>2021</v>
      </c>
      <c r="S2" s="61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58" t="s">
        <v>38</v>
      </c>
      <c r="B3" s="65" t="e">
        <f>SUBSTITUTE(B5,F8,F9,1)</f>
        <v>#REF!</v>
      </c>
      <c r="H3" s="61"/>
      <c r="I3" s="61"/>
      <c r="J3" s="61"/>
      <c r="K3" s="114" t="str">
        <f>CONCATENATE(" «  ",P2,"  »  ",Q2,"  ",R2," г.")</f>
        <v> «  17  »  марта  2021 г.</v>
      </c>
      <c r="L3" s="114"/>
      <c r="M3" s="114"/>
      <c r="N3" s="66"/>
      <c r="O3" s="66"/>
      <c r="P3" s="61"/>
      <c r="Q3" s="64">
        <f>MONTH(N2)</f>
        <v>3</v>
      </c>
      <c r="R3" s="61"/>
      <c r="S3" s="61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67" t="s">
        <v>39</v>
      </c>
      <c r="B4" s="65" t="e">
        <f>CONCATENATE(A7,A8,A9,A10)</f>
        <v>#REF!</v>
      </c>
    </row>
    <row r="5" spans="1:10" s="65" customFormat="1" ht="12.75">
      <c r="A5" s="67" t="s">
        <v>40</v>
      </c>
      <c r="B5" s="65" t="e">
        <f>CONCATENATE(A7,A8,A9,A10,A11,B7,B8,C8)</f>
        <v>#REF!</v>
      </c>
      <c r="C5" s="54"/>
      <c r="D5" s="54"/>
      <c r="E5" s="54"/>
      <c r="H5" s="69"/>
      <c r="I5" s="69"/>
      <c r="J5" s="69"/>
    </row>
    <row r="6" spans="4:10" ht="12.75" customHeight="1">
      <c r="D6" s="68"/>
      <c r="H6" s="69"/>
      <c r="I6" s="69"/>
      <c r="J6" s="69"/>
    </row>
    <row r="7" spans="1:10" ht="12.75" customHeight="1">
      <c r="A7" s="70" t="e">
        <f>CONCATENATE(IF(B14=0,"",E14),IF(B15=0,"",IF(C16&lt;20,IF(C16&lt;16,IF(C16&lt;10,E15,D16),F16),E15)),IF(B16=0,"",IF(NOT(B15=1),E16,"")),F17)</f>
        <v>#REF!</v>
      </c>
      <c r="D7" s="68"/>
      <c r="F7" s="71" t="e">
        <f>CODE(B5)</f>
        <v>#REF!</v>
      </c>
      <c r="G7" s="70"/>
      <c r="H7" s="69"/>
      <c r="I7" s="69"/>
      <c r="J7" s="69"/>
    </row>
    <row r="8" spans="1:17" ht="12.75" customHeight="1">
      <c r="A8" s="70" t="e">
        <f>CONCATENATE(IF(B18=0,"",E18),IF(B19=0,"",IF(C20&lt;20,IF(C20&lt;16,IF(C20&lt;10,E19,D20),F20),E19)),IF(B20=0,"",IF(NOT(B19=1),E20,"")),F21)</f>
        <v>#REF!</v>
      </c>
      <c r="B8" s="72"/>
      <c r="D8" s="73"/>
      <c r="F8" s="71" t="e">
        <f>CHAR(F7)</f>
        <v>#REF!</v>
      </c>
      <c r="G8" s="70"/>
      <c r="H8" s="69"/>
      <c r="I8" s="69"/>
      <c r="J8" s="69"/>
      <c r="Q8" s="74"/>
    </row>
    <row r="9" spans="1:10" s="70" customFormat="1" ht="12.75" customHeight="1">
      <c r="A9" s="70" t="e">
        <f>CONCATENATE(IF(B22=0,"",E22),IF(B23=0,"",IF(C24&lt;20,IF(C24&lt;16,IF(C24&lt;10,E23,D24),F24),E23)),IF(B24=0,"",IF(NOT(B23=1),E24,"")),F25)</f>
        <v>#REF!</v>
      </c>
      <c r="D9" s="69"/>
      <c r="E9" s="75"/>
      <c r="F9" s="71" t="e">
        <f>PROPER(F8)</f>
        <v>#REF!</v>
      </c>
      <c r="H9" s="69"/>
      <c r="I9" s="69"/>
      <c r="J9" s="69"/>
    </row>
    <row r="10" spans="1:10" s="70" customFormat="1" ht="12.75" customHeight="1">
      <c r="A10" s="70" t="e">
        <f>CONCATENATE(IF(B26=0,"",E26),IF(B27=0,"",IF(C28&lt;20,IF(C28&lt;16,IF(C28&lt;10,E27,D28),F28),E27)),IF(B28=0,"",IF(NOT(B27=1),E28,"")),F29)</f>
        <v>#REF!</v>
      </c>
      <c r="D10" s="69"/>
      <c r="E10" s="75"/>
      <c r="H10" s="69"/>
      <c r="I10" s="69"/>
      <c r="J10" s="69"/>
    </row>
    <row r="11" spans="1:13" s="70" customFormat="1" ht="12.75">
      <c r="A11" s="76"/>
      <c r="D11" s="69"/>
      <c r="E11" s="75"/>
      <c r="M11" s="77"/>
    </row>
    <row r="12" spans="1:13" s="70" customFormat="1" ht="12.75">
      <c r="A12" s="76"/>
      <c r="E12" s="78" t="e">
        <f>TRUNC(E1)</f>
        <v>#REF!</v>
      </c>
      <c r="F12" s="70" t="s">
        <v>41</v>
      </c>
      <c r="H12" s="69"/>
      <c r="M12" s="79"/>
    </row>
    <row r="13" spans="1:8" s="70" customFormat="1" ht="12.75">
      <c r="A13" s="80" t="e">
        <f>TRUNC(A14/10)</f>
        <v>#REF!</v>
      </c>
      <c r="B13" s="69"/>
      <c r="H13" s="69"/>
    </row>
    <row r="14" spans="1:8" s="70" customFormat="1" ht="12.75">
      <c r="A14" s="80" t="e">
        <f>TRUNC(A15/10)</f>
        <v>#REF!</v>
      </c>
      <c r="B14" s="69" t="e">
        <f>TRUNC(RIGHT(A14))</f>
        <v>#REF!</v>
      </c>
      <c r="C14" s="70" t="e">
        <f>B14</f>
        <v>#REF!</v>
      </c>
      <c r="E14" s="81" t="e">
        <f>IF(B14=1,E42,IF(B14=2,G34,IF(B14=3,G35,IF(B14=4,G36,IF(B14=5,G37,IF(B14=6,G38,IF(B14=7,G39,IF(B14=8,G40,G41))))))))</f>
        <v>#REF!</v>
      </c>
      <c r="H14" s="69"/>
    </row>
    <row r="15" spans="1:8" s="70" customFormat="1" ht="12.75">
      <c r="A15" s="80" t="e">
        <f>TRUNC(A16/10)</f>
        <v>#REF!</v>
      </c>
      <c r="B15" s="69" t="e">
        <f>TRUNC(RIGHT(A15))</f>
        <v>#REF!</v>
      </c>
      <c r="C15" s="70" t="e">
        <f>IF(B15=1,"",B15)</f>
        <v>#REF!</v>
      </c>
      <c r="E15" s="82" t="e">
        <f>IF(OR(C15=0,B15=1),"",IF(B15=2,E34,IF(B15=3,E35,IF(B15=4,E36,IF(B15=5,E37,IF(B15=6,E38,IF(B15=7,E39,IF(B15=8,E40,E41))))))))</f>
        <v>#REF!</v>
      </c>
      <c r="H15" s="69"/>
    </row>
    <row r="16" spans="1:8" s="70" customFormat="1" ht="12.75">
      <c r="A16" s="80" t="e">
        <f>TRUNC(A18/10)</f>
        <v>#REF!</v>
      </c>
      <c r="B16" s="69" t="e">
        <f>TRUNC(RIGHT(A16))</f>
        <v>#REF!</v>
      </c>
      <c r="C16" s="70" t="e">
        <f>IF(B15=1,B16+10,IF(B16=0,0,B16))</f>
        <v>#REF!</v>
      </c>
      <c r="D16" s="70" t="e">
        <f>IF(AND(C16&gt;9,C16&lt;16),IF(C16=10,D33,IF(C16=11,D34,IF(C16=12,D35,IF(C16=13,D36,IF(C16=14,D37,IF(C16=15,D38,)))))),"")</f>
        <v>#REF!</v>
      </c>
      <c r="E16" s="82" t="e">
        <f>IF(B16=1,A33,IF(B16=2,A34,IF(B16=3,A35,IF(B16=4,A36,IF(B16=5,A37,IF(B16=6,A38,IF(B16=7,A39,IF(B16=8,A40,A41))))))))</f>
        <v>#REF!</v>
      </c>
      <c r="F16" s="70" t="e">
        <f>IF(AND(C16&gt;15,C16&lt;20),IF(C16=16,D39,IF(C16=17,D40,IF(C16=18,D41,IF(C16=19,D42,)))),"")</f>
        <v>#REF!</v>
      </c>
      <c r="H16" s="69"/>
    </row>
    <row r="17" spans="1:8" s="70" customFormat="1" ht="12.75">
      <c r="A17" s="80"/>
      <c r="B17" s="69"/>
      <c r="D17" s="69"/>
      <c r="E17" s="70" t="e">
        <f>B16+B15*10+B14*100</f>
        <v>#REF!</v>
      </c>
      <c r="F17" s="70" t="e">
        <f>IF(E17=0,"",IF(B15=1,"миллиардов ",IF(B16=1,"милиард ",IF(OR(B16=2,B16=3,B16=4),"миллиарда ","милиардов "))))</f>
        <v>#REF!</v>
      </c>
      <c r="H17" s="69"/>
    </row>
    <row r="18" spans="1:8" s="70" customFormat="1" ht="12.75">
      <c r="A18" s="80" t="e">
        <f>TRUNC(A19/10)</f>
        <v>#REF!</v>
      </c>
      <c r="B18" s="69" t="e">
        <f>TRUNC(RIGHT(A18))</f>
        <v>#REF!</v>
      </c>
      <c r="C18" s="70" t="e">
        <f>B18</f>
        <v>#REF!</v>
      </c>
      <c r="E18" s="81" t="e">
        <f>IF(B18=1,E42,IF(B18=2,G34,IF(B18=3,G35,IF(B18=4,G36,IF(B18=5,G37,IF(B18=6,G38,IF(B18=7,G39,IF(B18=8,G40,G41))))))))</f>
        <v>#REF!</v>
      </c>
      <c r="H18" s="69"/>
    </row>
    <row r="19" spans="1:6" ht="12.75">
      <c r="A19" s="80" t="e">
        <f>TRUNC(A20/10)</f>
        <v>#REF!</v>
      </c>
      <c r="B19" s="69" t="e">
        <f>TRUNC(RIGHT(A19))</f>
        <v>#REF!</v>
      </c>
      <c r="C19" s="70" t="e">
        <f>IF(B19=1,"",B19)</f>
        <v>#REF!</v>
      </c>
      <c r="D19" s="70"/>
      <c r="E19" s="82" t="e">
        <f>IF(OR(C19=0,B19=1),"",IF(B19=2,E34,IF(B19=3,E35,IF(B19=4,E36,IF(B19=5,E37,IF(B19=6,E38,IF(B19=7,E39,IF(B19=8,E40,E41))))))))</f>
        <v>#REF!</v>
      </c>
      <c r="F19" s="70"/>
    </row>
    <row r="20" spans="1:6" s="70" customFormat="1" ht="12.75">
      <c r="A20" s="80" t="e">
        <f>TRUNC(A22/10)</f>
        <v>#REF!</v>
      </c>
      <c r="B20" s="69" t="e">
        <f>TRUNC(RIGHT(A20))</f>
        <v>#REF!</v>
      </c>
      <c r="C20" s="70" t="e">
        <f>IF(B19=1,B20+10,IF(B20=0,0,B20))</f>
        <v>#REF!</v>
      </c>
      <c r="D20" s="70" t="e">
        <f>IF(AND(C20&gt;9,C20&lt;16),IF(C20=10,D33,IF(C20=11,D34,IF(C20=12,D35,IF(C20=13,D36,IF(C20=14,D37,IF(C20=15,D38,)))))),"")</f>
        <v>#REF!</v>
      </c>
      <c r="E20" s="82" t="e">
        <f>IF(B20=1,A33,IF(B20=2,A34,IF(B20=3,A35,IF(B20=4,A36,IF(B20=5,A37,IF(B20=6,A38,IF(B20=7,A39,IF(B20=8,A40,A41))))))))</f>
        <v>#REF!</v>
      </c>
      <c r="F20" s="70" t="e">
        <f>IF(AND(C20&gt;15,C20&lt;20),IF(C20=16,D39,IF(C20=17,D40,IF(C20=18,D41,IF(C20=19,D42,)))),"")</f>
        <v>#REF!</v>
      </c>
    </row>
    <row r="21" spans="1:6" s="70" customFormat="1" ht="12.75">
      <c r="A21" s="80"/>
      <c r="B21" s="69"/>
      <c r="E21" s="70" t="e">
        <f>B20+B19*10+B18*100</f>
        <v>#REF!</v>
      </c>
      <c r="F21" s="70" t="e">
        <f>IF(E21=0,"",IF(B19=1,"миллионов ",IF(B20=1,"миллион ",IF(OR(B20=2,B20=3,B20=4),"миллиона ","миллионов "))))</f>
        <v>#REF!</v>
      </c>
    </row>
    <row r="22" spans="1:9" s="70" customFormat="1" ht="12.75">
      <c r="A22" s="80" t="e">
        <f>TRUNC(A23/10)</f>
        <v>#REF!</v>
      </c>
      <c r="B22" s="69" t="e">
        <f>TRUNC(RIGHT(A22))</f>
        <v>#REF!</v>
      </c>
      <c r="C22" s="70" t="e">
        <f>B22</f>
        <v>#REF!</v>
      </c>
      <c r="E22" s="81" t="e">
        <f>IF(B22=1,E42,IF(B22=2,G34,IF(B22=3,G35,IF(B22=4,G36,IF(B22=5,G37,IF(B22=6,G38,IF(B22=7,G39,IF(B22=8,G40,G41))))))))</f>
        <v>#REF!</v>
      </c>
      <c r="I22" s="77"/>
    </row>
    <row r="23" spans="1:5" s="70" customFormat="1" ht="12.75">
      <c r="A23" s="80" t="e">
        <f>TRUNC(A24/10)</f>
        <v>#REF!</v>
      </c>
      <c r="B23" s="69" t="e">
        <f>TRUNC(RIGHT(A23))</f>
        <v>#REF!</v>
      </c>
      <c r="C23" s="70" t="e">
        <f>IF(B23=1,"",B23)</f>
        <v>#REF!</v>
      </c>
      <c r="E23" s="82" t="e">
        <f>IF(OR(C23=0,B23=1),"",IF(B23=2,E34,IF(B23=3,E35,IF(B23=4,E36,IF(B23=5,E37,IF(B23=6,E38,IF(B23=7,E39,IF(B23=8,E40,E41))))))))</f>
        <v>#REF!</v>
      </c>
    </row>
    <row r="24" spans="1:6" s="70" customFormat="1" ht="12.75">
      <c r="A24" s="80" t="e">
        <f>TRUNC(A26/10)</f>
        <v>#REF!</v>
      </c>
      <c r="B24" s="69" t="e">
        <f>TRUNC(RIGHT(A24))</f>
        <v>#REF!</v>
      </c>
      <c r="C24" s="70" t="e">
        <f>IF(B23=1,B24+10,IF(B24=0,0,B24))</f>
        <v>#REF!</v>
      </c>
      <c r="D24" s="70" t="e">
        <f>IF(AND(C24&gt;9,C24&lt;16),IF(C24=10,D33,IF(C24=11,D34,IF(C24=12,D35,IF(C24=13,D36,IF(C24=14,D37,IF(C24=15,D38,)))))),"")</f>
        <v>#REF!</v>
      </c>
      <c r="E24" s="82" t="e">
        <f>IF(B24=1,B33,IF(B24=2,B34,IF(B24=3,A35,IF(B24=4,A36,IF(B24=5,A37,IF(B24=6,A38,IF(B24=7,A39,IF(B24=8,A40,A41))))))))</f>
        <v>#REF!</v>
      </c>
      <c r="F24" s="70" t="e">
        <f>IF(AND(C24&gt;15,C24&lt;20),IF(C24=16,D39,IF(C24=17,D40,IF(C24=18,D41,IF(C24=19,D42,)))),"")</f>
        <v>#REF!</v>
      </c>
    </row>
    <row r="25" spans="1:6" s="70" customFormat="1" ht="12.75">
      <c r="A25" s="80"/>
      <c r="B25" s="69"/>
      <c r="E25" s="82" t="e">
        <f>B22*100+B23*10+B24</f>
        <v>#REF!</v>
      </c>
      <c r="F25" s="70" t="e">
        <f>IF(E25=0,"",IF(B23=1,"тысяч ",IF(B24=1,"тысяча ",IF(OR(B24=2,B24=3,B24=4),"тысячи ","тысяч "))))</f>
        <v>#REF!</v>
      </c>
    </row>
    <row r="26" spans="1:5" s="70" customFormat="1" ht="12.75">
      <c r="A26" s="80" t="e">
        <f>TRUNC(A27/10)</f>
        <v>#REF!</v>
      </c>
      <c r="B26" s="69" t="e">
        <f>TRUNC(RIGHT(A26))</f>
        <v>#REF!</v>
      </c>
      <c r="C26" s="70" t="e">
        <f>B26</f>
        <v>#REF!</v>
      </c>
      <c r="E26" s="81" t="e">
        <f>IF(B26=1,E42,IF(B26=2,G34,IF(B26=3,G35,IF(B26=4,G36,IF(B26=5,G37,IF(B26=6,G38,IF(B26=7,G39,IF(B26=8,G40,G41))))))))</f>
        <v>#REF!</v>
      </c>
    </row>
    <row r="27" spans="1:7" s="70" customFormat="1" ht="12.75">
      <c r="A27" s="80" t="e">
        <f>TRUNC(A28/10)</f>
        <v>#REF!</v>
      </c>
      <c r="B27" s="83" t="e">
        <f>TRUNC(RIGHT(A27))</f>
        <v>#REF!</v>
      </c>
      <c r="C27" s="70" t="e">
        <f>IF(B27=1,"",B27)</f>
        <v>#REF!</v>
      </c>
      <c r="E27" s="82" t="e">
        <f>IF(OR(C27=0,B27=1),"",IF(C27=2,E34,IF(C27=3,E35,IF(C27=4,E36,IF(C27=5,E37,IF(C27=6,E38,IF(C27=7,E39,IF(C27=8,E40,E41))))))))</f>
        <v>#REF!</v>
      </c>
      <c r="G27" s="69"/>
    </row>
    <row r="28" spans="1:7" s="70" customFormat="1" ht="12.75">
      <c r="A28" s="80" t="e">
        <f>E12</f>
        <v>#REF!</v>
      </c>
      <c r="B28" s="69" t="e">
        <f>TRUNC(RIGHT(A28))</f>
        <v>#REF!</v>
      </c>
      <c r="C28" s="70" t="e">
        <f>IF(B27=1,B28+10,IF(B28=0,0,B28))</f>
        <v>#REF!</v>
      </c>
      <c r="D28" s="70" t="e">
        <f>IF(AND(C28&gt;9,C28&lt;16),IF(C28=10,D33,IF(C28=11,D34,IF(C28=12,D35,IF(C28=13,D36,IF(C28=14,D37,IF(C28=15,D38,)))))),"")</f>
        <v>#REF!</v>
      </c>
      <c r="E28" s="82" t="e">
        <f>IF(B28=1,A33,IF(B28=2,A34,IF(B28=3,A35,IF(B28=4,A36,IF(B28=5,A37,IF(B28=6,A38,IF(B28=7,A39,IF(B28=8,A40,A41))))))))</f>
        <v>#REF!</v>
      </c>
      <c r="F28" s="70" t="e">
        <f>IF(AND(C28&gt;15,C28&lt;20),IF(C28=16,D39,IF(C28=17,D40,IF(C28=18,D41,IF(C28=19,D42,)))),"")</f>
        <v>#REF!</v>
      </c>
      <c r="G28" s="69"/>
    </row>
    <row r="29" spans="1:7" s="70" customFormat="1" ht="12.75">
      <c r="A29" s="76"/>
      <c r="B29" s="83"/>
      <c r="C29" s="69"/>
      <c r="E29" s="82" t="e">
        <f>B26*100+B27*10+B28</f>
        <v>#REF!</v>
      </c>
      <c r="F29" s="70" t="e">
        <f>IF(E29+E25+E21+E17=0,"ноль рублей ",IF(C28=1,"рубль ",IF(OR(C28=2,C28=3,C28=4),"рубля ","рублей ")))</f>
        <v>#REF!</v>
      </c>
      <c r="G29" s="69"/>
    </row>
    <row r="30" spans="1:8" s="70" customFormat="1" ht="12.75">
      <c r="A30" s="84" t="e">
        <f>ROUND(100*(E1-E12),0)</f>
        <v>#REF!</v>
      </c>
      <c r="C30" s="69" t="e">
        <f>TRUNC(A30/10)</f>
        <v>#REF!</v>
      </c>
      <c r="E30" s="82" t="e">
        <f>IF(OR(C30=1,C30=0),"",IF(C30=2,E34,IF(C30=3,E35,IF(C30=4,E36,IF(C30=5,E37,IF(C30=6,E38,IF(C30=7,E39,IF(C30=8,E40,E41))))))))</f>
        <v>#REF!</v>
      </c>
      <c r="H30" s="69"/>
    </row>
    <row r="31" spans="3:8" s="70" customFormat="1" ht="12.75">
      <c r="C31" s="69" t="e">
        <f>TRUNC(A30-C30*10)</f>
        <v>#REF!</v>
      </c>
      <c r="E31" s="82" t="e">
        <f>IF(C31=1,B33,IF(C31=2,B34,IF(C31=3,A35,IF(C31=4,A36,IF(C31=5,A37,IF(C31=6,A38,IF(C31=7,A39,IF(C31=8,A40,A41))))))))</f>
        <v>#REF!</v>
      </c>
      <c r="H31" s="69"/>
    </row>
    <row r="32" s="70" customFormat="1" ht="12.75">
      <c r="H32" s="69"/>
    </row>
    <row r="33" spans="1:8" s="70" customFormat="1" ht="12.75">
      <c r="A33" s="70" t="s">
        <v>42</v>
      </c>
      <c r="B33" s="70" t="s">
        <v>43</v>
      </c>
      <c r="D33" s="70" t="s">
        <v>44</v>
      </c>
      <c r="H33" s="69"/>
    </row>
    <row r="34" spans="1:7" s="70" customFormat="1" ht="12.75">
      <c r="A34" s="70" t="s">
        <v>45</v>
      </c>
      <c r="B34" s="70" t="s">
        <v>46</v>
      </c>
      <c r="D34" s="70" t="s">
        <v>47</v>
      </c>
      <c r="E34" s="70" t="s">
        <v>48</v>
      </c>
      <c r="G34" s="70" t="s">
        <v>49</v>
      </c>
    </row>
    <row r="35" spans="1:7" s="70" customFormat="1" ht="12.75">
      <c r="A35" s="70" t="s">
        <v>50</v>
      </c>
      <c r="D35" s="70" t="s">
        <v>51</v>
      </c>
      <c r="E35" s="70" t="s">
        <v>52</v>
      </c>
      <c r="G35" s="70" t="s">
        <v>53</v>
      </c>
    </row>
    <row r="36" spans="1:7" s="70" customFormat="1" ht="12.75">
      <c r="A36" s="70" t="s">
        <v>54</v>
      </c>
      <c r="D36" s="70" t="s">
        <v>55</v>
      </c>
      <c r="E36" s="70" t="s">
        <v>56</v>
      </c>
      <c r="G36" s="70" t="s">
        <v>57</v>
      </c>
    </row>
    <row r="37" spans="1:7" s="70" customFormat="1" ht="12.75">
      <c r="A37" s="70" t="s">
        <v>58</v>
      </c>
      <c r="D37" s="70" t="s">
        <v>59</v>
      </c>
      <c r="E37" s="70" t="s">
        <v>60</v>
      </c>
      <c r="G37" s="70" t="s">
        <v>61</v>
      </c>
    </row>
    <row r="38" spans="1:7" s="70" customFormat="1" ht="12.75">
      <c r="A38" s="70" t="s">
        <v>62</v>
      </c>
      <c r="D38" s="70" t="s">
        <v>63</v>
      </c>
      <c r="E38" s="70" t="s">
        <v>64</v>
      </c>
      <c r="G38" s="70" t="s">
        <v>65</v>
      </c>
    </row>
    <row r="39" spans="1:7" s="70" customFormat="1" ht="12.75">
      <c r="A39" s="70" t="s">
        <v>66</v>
      </c>
      <c r="D39" s="70" t="s">
        <v>67</v>
      </c>
      <c r="E39" s="70" t="s">
        <v>68</v>
      </c>
      <c r="G39" s="70" t="s">
        <v>69</v>
      </c>
    </row>
    <row r="40" spans="1:7" s="70" customFormat="1" ht="12.75">
      <c r="A40" s="85" t="s">
        <v>70</v>
      </c>
      <c r="D40" s="70" t="s">
        <v>71</v>
      </c>
      <c r="E40" s="70" t="s">
        <v>72</v>
      </c>
      <c r="G40" s="70" t="s">
        <v>73</v>
      </c>
    </row>
    <row r="41" spans="1:7" s="70" customFormat="1" ht="12.75">
      <c r="A41" s="70" t="s">
        <v>74</v>
      </c>
      <c r="D41" s="70" t="s">
        <v>75</v>
      </c>
      <c r="E41" s="70" t="s">
        <v>76</v>
      </c>
      <c r="G41" s="70" t="s">
        <v>77</v>
      </c>
    </row>
    <row r="42" spans="4:8" s="70" customFormat="1" ht="12.75">
      <c r="D42" s="70" t="s">
        <v>78</v>
      </c>
      <c r="E42" s="70" t="s">
        <v>79</v>
      </c>
      <c r="H42" s="69"/>
    </row>
    <row r="43" s="70" customFormat="1" ht="12.75">
      <c r="H43" s="69"/>
    </row>
    <row r="44" s="70" customFormat="1" ht="12.75">
      <c r="H44" s="69"/>
    </row>
    <row r="45" s="70" customFormat="1" ht="12.75">
      <c r="H45" s="69"/>
    </row>
    <row r="46" spans="4:8" s="70" customFormat="1" ht="12.75">
      <c r="D46" s="70" t="e">
        <f>LEN(B2)</f>
        <v>#REF!</v>
      </c>
      <c r="H46" s="69"/>
    </row>
    <row r="47" spans="2:8" s="70" customFormat="1" ht="12.75">
      <c r="B47" s="70">
        <f>CONCATENATE("")</f>
      </c>
      <c r="D47" s="70" t="e">
        <f>FIND(" ",B2,40)</f>
        <v>#REF!</v>
      </c>
      <c r="H47" s="69"/>
    </row>
    <row r="48" spans="4:8" s="70" customFormat="1" ht="18" customHeight="1">
      <c r="D48" s="86" t="e">
        <f>IF(D46&lt;50,B2,LEFT(B2,D47))</f>
        <v>#REF!</v>
      </c>
      <c r="H48" s="69"/>
    </row>
    <row r="49" spans="4:8" ht="12.75">
      <c r="D49" s="54" t="e">
        <f>IF(D46&lt;50," ",MID(B2,(D47+1),200))</f>
        <v>#REF!</v>
      </c>
      <c r="H49" s="54"/>
    </row>
    <row r="50" ht="12.75">
      <c r="D50" s="54" t="e">
        <f>FIND(" ",B2,20)</f>
        <v>#REF!</v>
      </c>
    </row>
    <row r="51" ht="12.75">
      <c r="D51" s="54" t="e">
        <f>IF(D46&lt;40,B2,LEFT(B2,D50))</f>
        <v>#REF!</v>
      </c>
    </row>
    <row r="52" ht="12.75">
      <c r="D52" s="54" t="e">
        <f>IF(D46&lt;40,"",MID(B2,(D50+1),200))</f>
        <v>#REF!</v>
      </c>
    </row>
    <row r="96" spans="1:4" ht="12.75">
      <c r="A96" s="115"/>
      <c r="B96" s="115"/>
      <c r="C96" s="115"/>
      <c r="D96" s="115"/>
    </row>
  </sheetData>
  <sheetProtection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AS212"/>
  <sheetViews>
    <sheetView tabSelected="1"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33" width="2.75390625" style="1" customWidth="1"/>
    <col min="34" max="34" width="3.875" style="1" customWidth="1"/>
    <col min="35" max="39" width="2.75390625" style="1" customWidth="1"/>
    <col min="40" max="45" width="2.75390625" style="90" customWidth="1"/>
    <col min="46" max="16384" width="2.75390625" style="1" customWidth="1"/>
  </cols>
  <sheetData>
    <row r="1" spans="2:38" ht="19.5" customHeight="1" thickBot="1">
      <c r="B1" s="127" t="s">
        <v>93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</row>
    <row r="2" spans="2:38" ht="12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3"/>
    </row>
    <row r="3" spans="2:38" ht="10.5" customHeight="1">
      <c r="B3" s="4"/>
      <c r="C3" s="2"/>
      <c r="D3" s="14"/>
      <c r="E3" s="14"/>
      <c r="F3" s="14"/>
      <c r="G3" s="14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5" t="s">
        <v>0</v>
      </c>
      <c r="AL3" s="5"/>
    </row>
    <row r="4" spans="2:38" ht="10.5" customHeight="1">
      <c r="B4" s="4"/>
      <c r="C4" s="16"/>
      <c r="D4" s="16"/>
      <c r="E4" s="16"/>
      <c r="F4" s="1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8" t="s">
        <v>25</v>
      </c>
      <c r="AL4" s="5"/>
    </row>
    <row r="5" spans="2:38" ht="10.5" customHeight="1">
      <c r="B5" s="4"/>
      <c r="C5" s="16"/>
      <c r="D5" s="16"/>
      <c r="E5" s="16"/>
      <c r="F5" s="1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8" t="s">
        <v>26</v>
      </c>
      <c r="AL5" s="5"/>
    </row>
    <row r="6" spans="2:38" ht="10.5" customHeight="1">
      <c r="B6" s="4"/>
      <c r="C6" s="16"/>
      <c r="D6" s="16"/>
      <c r="E6" s="16"/>
      <c r="F6" s="1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8" t="s">
        <v>27</v>
      </c>
      <c r="AL6" s="5"/>
    </row>
    <row r="7" spans="2:38" ht="10.5" customHeight="1">
      <c r="B7" s="4"/>
      <c r="C7" s="16"/>
      <c r="D7" s="16"/>
      <c r="E7" s="16"/>
      <c r="F7" s="1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8" t="s">
        <v>94</v>
      </c>
      <c r="AL7" s="5"/>
    </row>
    <row r="8" spans="2:38" ht="10.5" customHeight="1">
      <c r="B8" s="4"/>
      <c r="C8" s="16"/>
      <c r="D8" s="16"/>
      <c r="E8" s="16"/>
      <c r="F8" s="1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8" t="s">
        <v>28</v>
      </c>
      <c r="AL8" s="5"/>
    </row>
    <row r="9" spans="2:38" ht="12" customHeight="1">
      <c r="B9" s="4"/>
      <c r="C9" s="2"/>
      <c r="D9" s="17"/>
      <c r="E9" s="17"/>
      <c r="F9" s="17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5"/>
    </row>
    <row r="10" spans="2:38" ht="12" customHeight="1">
      <c r="B10" s="4"/>
      <c r="C10" s="132" t="s">
        <v>1</v>
      </c>
      <c r="D10" s="132"/>
      <c r="E10" s="132"/>
      <c r="F10" s="132"/>
      <c r="G10" s="132"/>
      <c r="H10" s="132"/>
      <c r="I10" s="132"/>
      <c r="J10" s="117"/>
      <c r="K10" s="117"/>
      <c r="L10" s="117"/>
      <c r="M10" s="117"/>
      <c r="N10" s="117"/>
      <c r="O10" s="117"/>
      <c r="P10" s="24"/>
      <c r="Q10" s="34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26"/>
      <c r="AF10" s="134">
        <v>402510001</v>
      </c>
      <c r="AG10" s="134"/>
      <c r="AH10" s="134"/>
      <c r="AI10" s="134"/>
      <c r="AJ10" s="134"/>
      <c r="AK10" s="134"/>
      <c r="AL10" s="5"/>
    </row>
    <row r="11" spans="2:38" ht="12" customHeight="1">
      <c r="B11" s="4"/>
      <c r="C11" s="133" t="s">
        <v>2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26"/>
      <c r="AF11" s="34"/>
      <c r="AG11" s="34"/>
      <c r="AH11" s="34"/>
      <c r="AI11" s="34"/>
      <c r="AJ11" s="34"/>
      <c r="AK11" s="34"/>
      <c r="AL11" s="5"/>
    </row>
    <row r="12" spans="2:38" ht="12" customHeight="1">
      <c r="B12" s="4"/>
      <c r="C12" s="33"/>
      <c r="D12" s="27"/>
      <c r="E12" s="27"/>
      <c r="F12" s="27"/>
      <c r="G12" s="118">
        <f ca="1">TODAY()</f>
        <v>44272</v>
      </c>
      <c r="H12" s="118"/>
      <c r="I12" s="118"/>
      <c r="J12" s="118"/>
      <c r="K12" s="118"/>
      <c r="L12" s="118"/>
      <c r="M12" s="118"/>
      <c r="N12" s="23"/>
      <c r="O12" s="23"/>
      <c r="P12" s="23"/>
      <c r="Q12" s="27"/>
      <c r="R12" s="87"/>
      <c r="S12" s="87"/>
      <c r="T12" s="87"/>
      <c r="U12" s="125" t="s">
        <v>4</v>
      </c>
      <c r="V12" s="125"/>
      <c r="W12" s="125"/>
      <c r="X12" s="125"/>
      <c r="Y12" s="125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5"/>
    </row>
    <row r="13" spans="2:38" ht="12" customHeight="1">
      <c r="B13" s="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6"/>
      <c r="N13" s="26"/>
      <c r="O13" s="26"/>
      <c r="P13" s="26"/>
      <c r="Q13" s="26"/>
      <c r="R13" s="26"/>
      <c r="S13" s="87"/>
      <c r="T13" s="87"/>
      <c r="U13" s="125"/>
      <c r="V13" s="125"/>
      <c r="W13" s="125"/>
      <c r="X13" s="125"/>
      <c r="Y13" s="125"/>
      <c r="Z13" s="125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5"/>
    </row>
    <row r="14" spans="2:38" ht="12" customHeight="1">
      <c r="B14" s="4"/>
      <c r="C14" s="20" t="s">
        <v>29</v>
      </c>
      <c r="D14" s="20"/>
      <c r="E14" s="119"/>
      <c r="F14" s="120"/>
      <c r="G14" s="120"/>
      <c r="H14" s="120"/>
      <c r="I14" s="120"/>
      <c r="J14" s="121"/>
      <c r="K14" s="20"/>
      <c r="L14" s="20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40">
        <v>125.23</v>
      </c>
      <c r="AF14" s="141"/>
      <c r="AG14" s="141"/>
      <c r="AH14" s="141"/>
      <c r="AI14" s="141"/>
      <c r="AJ14" s="141"/>
      <c r="AK14" s="142"/>
      <c r="AL14" s="5"/>
    </row>
    <row r="15" spans="2:38" ht="12" customHeight="1">
      <c r="B15" s="4"/>
      <c r="C15" s="20"/>
      <c r="D15" s="20"/>
      <c r="E15" s="21"/>
      <c r="F15" s="21"/>
      <c r="G15" s="21"/>
      <c r="H15" s="21"/>
      <c r="I15" s="21"/>
      <c r="J15" s="21"/>
      <c r="K15" s="20"/>
      <c r="L15" s="20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40"/>
      <c r="AF15" s="141"/>
      <c r="AG15" s="141"/>
      <c r="AH15" s="141"/>
      <c r="AI15" s="141"/>
      <c r="AJ15" s="141"/>
      <c r="AK15" s="142"/>
      <c r="AL15" s="5"/>
    </row>
    <row r="16" spans="2:38" ht="12" customHeight="1">
      <c r="B16" s="4"/>
      <c r="C16" s="135" t="s">
        <v>3</v>
      </c>
      <c r="D16" s="135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87"/>
      <c r="AE16" s="140"/>
      <c r="AF16" s="141"/>
      <c r="AG16" s="141"/>
      <c r="AH16" s="141"/>
      <c r="AI16" s="141"/>
      <c r="AJ16" s="141"/>
      <c r="AK16" s="142"/>
      <c r="AL16" s="5"/>
    </row>
    <row r="17" spans="2:38" ht="12" customHeight="1">
      <c r="B17" s="4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40"/>
      <c r="AE17" s="137" t="s">
        <v>9</v>
      </c>
      <c r="AF17" s="138"/>
      <c r="AG17" s="138"/>
      <c r="AH17" s="138"/>
      <c r="AI17" s="138"/>
      <c r="AJ17" s="138"/>
      <c r="AK17" s="139"/>
      <c r="AL17" s="5"/>
    </row>
    <row r="18" spans="2:38" ht="12" customHeight="1">
      <c r="B18" s="4"/>
      <c r="C18" s="20" t="s">
        <v>5</v>
      </c>
      <c r="D18" s="20"/>
      <c r="E18" s="20"/>
      <c r="F18" s="20"/>
      <c r="G18" s="20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5"/>
    </row>
    <row r="19" spans="2:38" ht="12" customHeight="1">
      <c r="B19" s="4"/>
      <c r="C19" s="20" t="s">
        <v>6</v>
      </c>
      <c r="D19" s="20"/>
      <c r="E19" s="20"/>
      <c r="F19" s="20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5"/>
    </row>
    <row r="20" spans="2:42" ht="12" customHeight="1">
      <c r="B20" s="4"/>
      <c r="C20" s="20" t="s">
        <v>7</v>
      </c>
      <c r="D20" s="20"/>
      <c r="E20" s="20"/>
      <c r="F20" s="143" t="str">
        <f>IF(AO20=1,AG124,IF(AO20=2,V124,IF(AO20=3,AG159,IF(AO20=4,V159,IF(AO20=5,AG195,V195)))))</f>
        <v>Сто двадцать пять белорусских рублей 23 копейки.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5"/>
      <c r="AO20" s="90">
        <v>2</v>
      </c>
      <c r="AP20" s="90">
        <v>1</v>
      </c>
    </row>
    <row r="21" spans="2:42" ht="12" customHeight="1">
      <c r="B21" s="4"/>
      <c r="C21" s="26" t="s">
        <v>8</v>
      </c>
      <c r="D21" s="26"/>
      <c r="E21" s="26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5"/>
      <c r="AP21" s="90">
        <v>2</v>
      </c>
    </row>
    <row r="22" spans="2:38" ht="12" customHeight="1">
      <c r="B22" s="4"/>
      <c r="C22" s="26" t="s">
        <v>10</v>
      </c>
      <c r="D22" s="18"/>
      <c r="E22" s="18"/>
      <c r="F22" s="18"/>
      <c r="G22" s="18"/>
      <c r="H22" s="18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26"/>
      <c r="AE22" s="131"/>
      <c r="AF22" s="131"/>
      <c r="AG22" s="131"/>
      <c r="AH22" s="131"/>
      <c r="AI22" s="131"/>
      <c r="AJ22" s="131"/>
      <c r="AK22" s="131"/>
      <c r="AL22" s="5"/>
    </row>
    <row r="23" spans="2:38" ht="9.75" customHeight="1">
      <c r="B23" s="4"/>
      <c r="C23" s="26"/>
      <c r="D23" s="18"/>
      <c r="E23" s="18"/>
      <c r="F23" s="18"/>
      <c r="G23" s="18"/>
      <c r="H23" s="18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123" t="s">
        <v>30</v>
      </c>
      <c r="AF23" s="123"/>
      <c r="AG23" s="123"/>
      <c r="AH23" s="123"/>
      <c r="AI23" s="123"/>
      <c r="AJ23" s="123"/>
      <c r="AK23" s="123"/>
      <c r="AL23" s="5"/>
    </row>
    <row r="24" spans="2:38" ht="9.75" customHeight="1">
      <c r="B24" s="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5"/>
    </row>
    <row r="25" spans="2:38" ht="9.75" customHeight="1">
      <c r="B25" s="4"/>
      <c r="C25" s="123" t="s">
        <v>31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5"/>
    </row>
    <row r="26" spans="2:38" ht="9.75" customHeight="1">
      <c r="B26" s="4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5"/>
    </row>
    <row r="27" spans="2:38" ht="9.75" customHeight="1">
      <c r="B27" s="4"/>
      <c r="C27" s="123" t="s">
        <v>32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5"/>
    </row>
    <row r="28" spans="2:38" ht="9.75" customHeight="1">
      <c r="B28" s="4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5"/>
    </row>
    <row r="29" spans="2:38" ht="9.75" customHeight="1">
      <c r="B29" s="4"/>
      <c r="C29" s="123" t="s">
        <v>33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5"/>
    </row>
    <row r="30" spans="2:38" ht="9.75" customHeight="1">
      <c r="B30" s="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6"/>
      <c r="P30" s="18"/>
      <c r="Q30" s="18"/>
      <c r="R30" s="18"/>
      <c r="S30" s="18"/>
      <c r="T30" s="18"/>
      <c r="U30" s="18"/>
      <c r="V30" s="18"/>
      <c r="W30" s="26"/>
      <c r="X30" s="26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5"/>
    </row>
    <row r="31" spans="2:38" ht="9.75" customHeight="1">
      <c r="B31" s="4"/>
      <c r="C31" s="24" t="s">
        <v>12</v>
      </c>
      <c r="D31" s="24"/>
      <c r="E31" s="24"/>
      <c r="F31" s="24"/>
      <c r="G31" s="24"/>
      <c r="H31" s="24"/>
      <c r="I31" s="146"/>
      <c r="J31" s="146"/>
      <c r="K31" s="146"/>
      <c r="L31" s="146"/>
      <c r="M31" s="146"/>
      <c r="N31" s="146"/>
      <c r="O31" s="146"/>
      <c r="P31" s="146"/>
      <c r="Q31" s="146"/>
      <c r="R31" s="24"/>
      <c r="S31" s="26" t="s">
        <v>11</v>
      </c>
      <c r="T31" s="29"/>
      <c r="U31" s="29"/>
      <c r="V31" s="24"/>
      <c r="W31" s="26"/>
      <c r="X31" s="26"/>
      <c r="Y31" s="26"/>
      <c r="Z31" s="26"/>
      <c r="AA31" s="26"/>
      <c r="AB31" s="146"/>
      <c r="AC31" s="146"/>
      <c r="AD31" s="146"/>
      <c r="AE31" s="146"/>
      <c r="AF31" s="146"/>
      <c r="AG31" s="146"/>
      <c r="AH31" s="146"/>
      <c r="AI31" s="146"/>
      <c r="AJ31" s="146"/>
      <c r="AK31" s="29"/>
      <c r="AL31" s="5"/>
    </row>
    <row r="32" spans="2:38" ht="9.75" customHeight="1">
      <c r="B32" s="4"/>
      <c r="C32" s="2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9" t="s">
        <v>13</v>
      </c>
      <c r="T32" s="18"/>
      <c r="U32" s="18"/>
      <c r="V32" s="24"/>
      <c r="W32" s="26"/>
      <c r="X32" s="26"/>
      <c r="Y32" s="26"/>
      <c r="Z32" s="28"/>
      <c r="AA32" s="28"/>
      <c r="AB32" s="146"/>
      <c r="AC32" s="146"/>
      <c r="AD32" s="146"/>
      <c r="AE32" s="146"/>
      <c r="AF32" s="146"/>
      <c r="AG32" s="146"/>
      <c r="AH32" s="146"/>
      <c r="AI32" s="146"/>
      <c r="AJ32" s="146"/>
      <c r="AK32" s="28"/>
      <c r="AL32" s="5"/>
    </row>
    <row r="33" spans="2:38" ht="9.75" customHeight="1">
      <c r="B33" s="4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/>
      <c r="T33" s="48"/>
      <c r="U33" s="48"/>
      <c r="V33" s="47"/>
      <c r="W33" s="47"/>
      <c r="X33" s="47"/>
      <c r="Y33" s="47"/>
      <c r="Z33" s="50"/>
      <c r="AA33" s="50"/>
      <c r="AB33" s="48"/>
      <c r="AC33" s="48"/>
      <c r="AD33" s="48"/>
      <c r="AE33" s="48"/>
      <c r="AF33" s="48"/>
      <c r="AG33" s="48"/>
      <c r="AH33" s="48"/>
      <c r="AI33" s="48"/>
      <c r="AJ33" s="48"/>
      <c r="AK33" s="50"/>
      <c r="AL33" s="5"/>
    </row>
    <row r="34" spans="2:38" ht="9.75" customHeight="1">
      <c r="B34" s="4"/>
      <c r="C34" s="51"/>
      <c r="D34" s="51"/>
      <c r="E34" s="51"/>
      <c r="F34" s="51"/>
      <c r="G34" s="51"/>
      <c r="H34" s="51"/>
      <c r="I34" s="51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1"/>
      <c r="X34" s="51"/>
      <c r="Y34" s="51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"/>
    </row>
    <row r="35" spans="2:38" ht="12" customHeight="1">
      <c r="B35" s="4"/>
      <c r="C35" s="132" t="s">
        <v>14</v>
      </c>
      <c r="D35" s="132"/>
      <c r="E35" s="132"/>
      <c r="F35" s="132"/>
      <c r="G35" s="132"/>
      <c r="H35" s="132"/>
      <c r="I35" s="132"/>
      <c r="J35" s="132"/>
      <c r="K35" s="117"/>
      <c r="L35" s="117"/>
      <c r="M35" s="117"/>
      <c r="N35" s="117"/>
      <c r="O35" s="117"/>
      <c r="P35" s="117"/>
      <c r="Q35" s="24"/>
      <c r="R35" s="87"/>
      <c r="S35" s="87"/>
      <c r="T35" s="87"/>
      <c r="U35" s="87"/>
      <c r="V35" s="87"/>
      <c r="W35" s="87"/>
      <c r="X35" s="87"/>
      <c r="Y35" s="87"/>
      <c r="Z35" s="87"/>
      <c r="AA35" s="24"/>
      <c r="AB35" s="24"/>
      <c r="AC35" s="24"/>
      <c r="AD35" s="24"/>
      <c r="AE35" s="26"/>
      <c r="AF35" s="134">
        <v>402510001</v>
      </c>
      <c r="AG35" s="134"/>
      <c r="AH35" s="134"/>
      <c r="AI35" s="134"/>
      <c r="AJ35" s="134"/>
      <c r="AK35" s="134"/>
      <c r="AL35" s="5"/>
    </row>
    <row r="36" spans="2:38" ht="12" customHeight="1">
      <c r="B36" s="4"/>
      <c r="C36" s="33"/>
      <c r="D36" s="33"/>
      <c r="E36" s="27"/>
      <c r="F36" s="27"/>
      <c r="G36" s="27"/>
      <c r="H36" s="118">
        <f ca="1">TODAY()</f>
        <v>44272</v>
      </c>
      <c r="I36" s="118"/>
      <c r="J36" s="118"/>
      <c r="K36" s="118"/>
      <c r="L36" s="118"/>
      <c r="M36" s="118"/>
      <c r="N36" s="118"/>
      <c r="O36" s="23"/>
      <c r="P36" s="23"/>
      <c r="Q36" s="23"/>
      <c r="R36" s="87"/>
      <c r="S36" s="87"/>
      <c r="T36" s="87"/>
      <c r="U36" s="87"/>
      <c r="V36" s="87"/>
      <c r="W36" s="87"/>
      <c r="X36" s="87"/>
      <c r="Y36" s="87"/>
      <c r="Z36" s="87"/>
      <c r="AA36" s="23"/>
      <c r="AB36" s="23"/>
      <c r="AC36" s="23"/>
      <c r="AD36" s="23"/>
      <c r="AE36" s="26"/>
      <c r="AF36" s="34"/>
      <c r="AG36" s="34"/>
      <c r="AH36" s="34"/>
      <c r="AI36" s="34"/>
      <c r="AJ36" s="34"/>
      <c r="AK36" s="34"/>
      <c r="AL36" s="5"/>
    </row>
    <row r="37" spans="2:38" ht="6" customHeight="1">
      <c r="B37" s="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6"/>
      <c r="N37" s="26"/>
      <c r="O37" s="26"/>
      <c r="P37" s="26"/>
      <c r="Q37" s="26"/>
      <c r="R37" s="26"/>
      <c r="S37" s="26"/>
      <c r="T37" s="26"/>
      <c r="U37" s="125" t="s">
        <v>4</v>
      </c>
      <c r="V37" s="125"/>
      <c r="W37" s="125"/>
      <c r="X37" s="125"/>
      <c r="Y37" s="125"/>
      <c r="Z37" s="125"/>
      <c r="AA37" s="160">
        <f>AA12</f>
        <v>0</v>
      </c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5"/>
    </row>
    <row r="38" spans="2:38" ht="12" customHeight="1">
      <c r="B38" s="4"/>
      <c r="C38" s="20" t="s">
        <v>29</v>
      </c>
      <c r="D38" s="20"/>
      <c r="E38" s="119">
        <f>E14</f>
        <v>0</v>
      </c>
      <c r="F38" s="120"/>
      <c r="G38" s="120"/>
      <c r="H38" s="120"/>
      <c r="I38" s="120"/>
      <c r="J38" s="121"/>
      <c r="K38" s="20"/>
      <c r="L38" s="20"/>
      <c r="M38" s="26"/>
      <c r="N38" s="26"/>
      <c r="O38" s="26"/>
      <c r="P38" s="26"/>
      <c r="Q38" s="26"/>
      <c r="R38" s="26"/>
      <c r="S38" s="26"/>
      <c r="T38" s="26"/>
      <c r="U38" s="125"/>
      <c r="V38" s="125"/>
      <c r="W38" s="125"/>
      <c r="X38" s="125"/>
      <c r="Y38" s="125"/>
      <c r="Z38" s="125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5"/>
    </row>
    <row r="39" spans="2:38" ht="12" customHeight="1">
      <c r="B39" s="4"/>
      <c r="C39" s="20"/>
      <c r="D39" s="20"/>
      <c r="E39" s="21"/>
      <c r="F39" s="21"/>
      <c r="G39" s="21"/>
      <c r="H39" s="21"/>
      <c r="I39" s="21"/>
      <c r="J39" s="21"/>
      <c r="K39" s="20"/>
      <c r="L39" s="20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140">
        <f>AE14</f>
        <v>125.23</v>
      </c>
      <c r="AF39" s="141"/>
      <c r="AG39" s="141"/>
      <c r="AH39" s="141"/>
      <c r="AI39" s="141"/>
      <c r="AJ39" s="141"/>
      <c r="AK39" s="142"/>
      <c r="AL39" s="5"/>
    </row>
    <row r="40" spans="2:38" ht="12" customHeight="1">
      <c r="B40" s="4"/>
      <c r="C40" s="135" t="s">
        <v>3</v>
      </c>
      <c r="D40" s="135"/>
      <c r="E40" s="135"/>
      <c r="F40" s="136">
        <f>F16</f>
        <v>0</v>
      </c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87"/>
      <c r="AE40" s="140"/>
      <c r="AF40" s="141"/>
      <c r="AG40" s="141"/>
      <c r="AH40" s="141"/>
      <c r="AI40" s="141"/>
      <c r="AJ40" s="141"/>
      <c r="AK40" s="142"/>
      <c r="AL40" s="5"/>
    </row>
    <row r="41" spans="2:38" ht="12" customHeight="1">
      <c r="B41" s="4"/>
      <c r="C41" s="145">
        <f>C17</f>
        <v>0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87"/>
      <c r="AE41" s="140"/>
      <c r="AF41" s="141"/>
      <c r="AG41" s="141"/>
      <c r="AH41" s="141"/>
      <c r="AI41" s="141"/>
      <c r="AJ41" s="141"/>
      <c r="AK41" s="142"/>
      <c r="AL41" s="5"/>
    </row>
    <row r="42" spans="2:38" ht="12" customHeight="1">
      <c r="B42" s="4"/>
      <c r="C42" s="20" t="s">
        <v>5</v>
      </c>
      <c r="D42" s="20"/>
      <c r="E42" s="20"/>
      <c r="F42" s="20"/>
      <c r="G42" s="20"/>
      <c r="H42" s="147">
        <f>H18</f>
        <v>0</v>
      </c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41"/>
      <c r="AE42" s="137" t="s">
        <v>9</v>
      </c>
      <c r="AF42" s="138"/>
      <c r="AG42" s="138"/>
      <c r="AH42" s="138"/>
      <c r="AI42" s="138"/>
      <c r="AJ42" s="138"/>
      <c r="AK42" s="139"/>
      <c r="AL42" s="5"/>
    </row>
    <row r="43" spans="2:38" ht="12" customHeight="1">
      <c r="B43" s="4"/>
      <c r="C43" s="20" t="s">
        <v>6</v>
      </c>
      <c r="D43" s="20"/>
      <c r="E43" s="20"/>
      <c r="F43" s="20"/>
      <c r="G43" s="136">
        <f>G19</f>
        <v>0</v>
      </c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26"/>
      <c r="AE43" s="2"/>
      <c r="AF43" s="87"/>
      <c r="AG43" s="87"/>
      <c r="AH43" s="87"/>
      <c r="AI43" s="87"/>
      <c r="AJ43" s="87"/>
      <c r="AK43" s="87"/>
      <c r="AL43" s="5"/>
    </row>
    <row r="44" spans="2:38" ht="12" customHeight="1">
      <c r="B44" s="4"/>
      <c r="C44" s="20" t="s">
        <v>7</v>
      </c>
      <c r="D44" s="20"/>
      <c r="E44" s="20"/>
      <c r="F44" s="143" t="str">
        <f>F20</f>
        <v>Сто двадцать пять белорусских рублей 23 копейки.</v>
      </c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5"/>
    </row>
    <row r="45" spans="2:38" ht="12" customHeight="1">
      <c r="B45" s="4"/>
      <c r="C45" s="26" t="s">
        <v>8</v>
      </c>
      <c r="D45" s="26"/>
      <c r="E45" s="26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5"/>
    </row>
    <row r="46" spans="2:38" ht="12" customHeight="1">
      <c r="B46" s="4"/>
      <c r="C46" s="26" t="s">
        <v>10</v>
      </c>
      <c r="D46" s="18"/>
      <c r="E46" s="18"/>
      <c r="F46" s="18"/>
      <c r="G46" s="18"/>
      <c r="H46" s="18"/>
      <c r="I46" s="145">
        <f>I22</f>
        <v>0</v>
      </c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26"/>
      <c r="AE46" s="131"/>
      <c r="AF46" s="131"/>
      <c r="AG46" s="131"/>
      <c r="AH46" s="131"/>
      <c r="AI46" s="131"/>
      <c r="AJ46" s="131"/>
      <c r="AK46" s="131"/>
      <c r="AL46" s="5"/>
    </row>
    <row r="47" spans="2:38" ht="9.75" customHeight="1">
      <c r="B47" s="4"/>
      <c r="C47" s="26"/>
      <c r="D47" s="18"/>
      <c r="E47" s="18"/>
      <c r="F47" s="18"/>
      <c r="G47" s="18"/>
      <c r="H47" s="18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123" t="s">
        <v>30</v>
      </c>
      <c r="AF47" s="123"/>
      <c r="AG47" s="123"/>
      <c r="AH47" s="123"/>
      <c r="AI47" s="123"/>
      <c r="AJ47" s="123"/>
      <c r="AK47" s="123"/>
      <c r="AL47" s="5"/>
    </row>
    <row r="48" spans="2:38" ht="9.75" customHeight="1">
      <c r="B48" s="4"/>
      <c r="C48" s="131">
        <f>C24</f>
        <v>0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5"/>
    </row>
    <row r="49" spans="2:38" ht="9.75" customHeight="1">
      <c r="B49" s="4"/>
      <c r="C49" s="123" t="s">
        <v>31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5"/>
    </row>
    <row r="50" spans="2:38" ht="9.75" customHeight="1">
      <c r="B50" s="4"/>
      <c r="C50" s="131">
        <f>C26</f>
        <v>0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5"/>
    </row>
    <row r="51" spans="2:38" ht="9.75" customHeight="1">
      <c r="B51" s="4"/>
      <c r="C51" s="123" t="s">
        <v>32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5"/>
    </row>
    <row r="52" spans="2:38" ht="9.75" customHeight="1">
      <c r="B52" s="4"/>
      <c r="C52" s="131">
        <f>C28</f>
        <v>0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5"/>
    </row>
    <row r="53" spans="2:38" ht="9.75" customHeight="1">
      <c r="B53" s="4"/>
      <c r="C53" s="123" t="s">
        <v>33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5"/>
    </row>
    <row r="54" spans="2:38" ht="9.75" customHeight="1">
      <c r="B54" s="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6"/>
      <c r="P54" s="18"/>
      <c r="Q54" s="18"/>
      <c r="R54" s="18"/>
      <c r="S54" s="18"/>
      <c r="T54" s="18"/>
      <c r="U54" s="18"/>
      <c r="V54" s="18"/>
      <c r="W54" s="26"/>
      <c r="X54" s="26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5"/>
    </row>
    <row r="55" spans="2:38" ht="9.75" customHeight="1">
      <c r="B55" s="4"/>
      <c r="C55" s="24"/>
      <c r="D55" s="24"/>
      <c r="E55" s="24"/>
      <c r="F55" s="24" t="s">
        <v>34</v>
      </c>
      <c r="G55" s="24"/>
      <c r="H55" s="24"/>
      <c r="I55" s="26"/>
      <c r="J55" s="26"/>
      <c r="K55" s="26"/>
      <c r="L55" s="26"/>
      <c r="M55" s="26"/>
      <c r="N55" s="26"/>
      <c r="O55" s="26"/>
      <c r="P55" s="26"/>
      <c r="Q55" s="26"/>
      <c r="R55" s="24"/>
      <c r="S55" s="26" t="s">
        <v>11</v>
      </c>
      <c r="T55" s="29"/>
      <c r="U55" s="29"/>
      <c r="V55" s="24"/>
      <c r="W55" s="26"/>
      <c r="X55" s="26"/>
      <c r="Y55" s="26"/>
      <c r="Z55" s="26"/>
      <c r="AA55" s="26"/>
      <c r="AB55" s="146"/>
      <c r="AC55" s="146"/>
      <c r="AD55" s="146"/>
      <c r="AE55" s="146"/>
      <c r="AF55" s="146"/>
      <c r="AG55" s="146"/>
      <c r="AH55" s="146"/>
      <c r="AI55" s="146"/>
      <c r="AJ55" s="146"/>
      <c r="AK55" s="29"/>
      <c r="AL55" s="5"/>
    </row>
    <row r="56" spans="2:38" ht="9.75" customHeight="1">
      <c r="B56" s="4"/>
      <c r="C56" s="26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9" t="s">
        <v>13</v>
      </c>
      <c r="T56" s="18"/>
      <c r="U56" s="18"/>
      <c r="V56" s="24"/>
      <c r="W56" s="26"/>
      <c r="X56" s="26"/>
      <c r="Y56" s="26"/>
      <c r="Z56" s="28"/>
      <c r="AA56" s="28"/>
      <c r="AB56" s="146"/>
      <c r="AC56" s="146"/>
      <c r="AD56" s="146"/>
      <c r="AE56" s="146"/>
      <c r="AF56" s="146"/>
      <c r="AG56" s="146"/>
      <c r="AH56" s="146"/>
      <c r="AI56" s="146"/>
      <c r="AJ56" s="146"/>
      <c r="AK56" s="28"/>
      <c r="AL56" s="5"/>
    </row>
    <row r="57" spans="2:38" ht="9.75" customHeight="1">
      <c r="B57" s="4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9"/>
      <c r="T57" s="48"/>
      <c r="U57" s="48"/>
      <c r="V57" s="47"/>
      <c r="W57" s="47"/>
      <c r="X57" s="47"/>
      <c r="Y57" s="47"/>
      <c r="Z57" s="50"/>
      <c r="AA57" s="50"/>
      <c r="AB57" s="48"/>
      <c r="AC57" s="48"/>
      <c r="AD57" s="48"/>
      <c r="AE57" s="48"/>
      <c r="AF57" s="48"/>
      <c r="AG57" s="48"/>
      <c r="AH57" s="48"/>
      <c r="AI57" s="48"/>
      <c r="AJ57" s="48"/>
      <c r="AK57" s="50"/>
      <c r="AL57" s="5"/>
    </row>
    <row r="58" spans="2:45" s="3" customFormat="1" ht="9.75" customHeight="1">
      <c r="B58" s="6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88"/>
      <c r="AG58" s="88"/>
      <c r="AH58" s="88"/>
      <c r="AI58" s="88"/>
      <c r="AJ58" s="88"/>
      <c r="AK58" s="88"/>
      <c r="AL58" s="7"/>
      <c r="AN58" s="91"/>
      <c r="AO58" s="91"/>
      <c r="AP58" s="91"/>
      <c r="AQ58" s="91"/>
      <c r="AR58" s="91"/>
      <c r="AS58" s="91"/>
    </row>
    <row r="59" spans="2:45" s="3" customFormat="1" ht="12" customHeight="1">
      <c r="B59" s="6"/>
      <c r="C59" s="132" t="s">
        <v>15</v>
      </c>
      <c r="D59" s="132"/>
      <c r="E59" s="132"/>
      <c r="F59" s="132"/>
      <c r="G59" s="132"/>
      <c r="H59" s="132"/>
      <c r="I59" s="132"/>
      <c r="J59" s="132"/>
      <c r="K59" s="132"/>
      <c r="L59" s="117"/>
      <c r="M59" s="117"/>
      <c r="N59" s="117"/>
      <c r="O59" s="117"/>
      <c r="P59" s="117"/>
      <c r="Q59" s="117"/>
      <c r="R59" s="45"/>
      <c r="S59" s="45"/>
      <c r="T59" s="45"/>
      <c r="U59" s="45"/>
      <c r="V59" s="45"/>
      <c r="W59" s="45"/>
      <c r="X59" s="45"/>
      <c r="Y59" s="45"/>
      <c r="Z59" s="24"/>
      <c r="AA59" s="24"/>
      <c r="AB59" s="24"/>
      <c r="AC59" s="24"/>
      <c r="AD59" s="24"/>
      <c r="AE59" s="24"/>
      <c r="AF59" s="148">
        <v>402510001</v>
      </c>
      <c r="AG59" s="148"/>
      <c r="AH59" s="148"/>
      <c r="AI59" s="148"/>
      <c r="AJ59" s="148"/>
      <c r="AK59" s="148"/>
      <c r="AL59" s="7"/>
      <c r="AN59" s="91"/>
      <c r="AO59" s="91"/>
      <c r="AP59" s="91"/>
      <c r="AQ59" s="91"/>
      <c r="AR59" s="91"/>
      <c r="AS59" s="91"/>
    </row>
    <row r="60" spans="2:45" s="3" customFormat="1" ht="12" customHeight="1">
      <c r="B60" s="6"/>
      <c r="C60" s="33"/>
      <c r="D60" s="33"/>
      <c r="E60" s="33"/>
      <c r="F60" s="27"/>
      <c r="G60" s="27"/>
      <c r="H60" s="27"/>
      <c r="I60" s="118">
        <f ca="1">TODAY()</f>
        <v>44272</v>
      </c>
      <c r="J60" s="118"/>
      <c r="K60" s="118"/>
      <c r="L60" s="118"/>
      <c r="M60" s="118"/>
      <c r="N60" s="118"/>
      <c r="O60" s="118"/>
      <c r="P60" s="23"/>
      <c r="Q60" s="23"/>
      <c r="R60" s="45"/>
      <c r="S60" s="45"/>
      <c r="T60" s="45"/>
      <c r="U60" s="45"/>
      <c r="V60" s="45"/>
      <c r="W60" s="122" t="s">
        <v>16</v>
      </c>
      <c r="X60" s="122"/>
      <c r="Y60" s="122"/>
      <c r="Z60" s="122"/>
      <c r="AA60" s="122"/>
      <c r="AB60" s="122"/>
      <c r="AC60" s="122"/>
      <c r="AD60" s="122"/>
      <c r="AE60" s="122" t="s">
        <v>7</v>
      </c>
      <c r="AF60" s="122"/>
      <c r="AG60" s="122"/>
      <c r="AH60" s="122"/>
      <c r="AI60" s="122"/>
      <c r="AJ60" s="122"/>
      <c r="AK60" s="122"/>
      <c r="AL60" s="7"/>
      <c r="AN60" s="91"/>
      <c r="AO60" s="91"/>
      <c r="AP60" s="91"/>
      <c r="AQ60" s="91"/>
      <c r="AR60" s="91"/>
      <c r="AS60" s="91"/>
    </row>
    <row r="61" spans="2:45" s="3" customFormat="1" ht="12" customHeight="1">
      <c r="B61" s="6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30"/>
      <c r="R61" s="30"/>
      <c r="S61" s="23"/>
      <c r="T61" s="168"/>
      <c r="U61" s="169"/>
      <c r="V61" s="169"/>
      <c r="W61" s="169"/>
      <c r="X61" s="169"/>
      <c r="Y61" s="169"/>
      <c r="Z61" s="169"/>
      <c r="AA61" s="169"/>
      <c r="AB61" s="169"/>
      <c r="AC61" s="169"/>
      <c r="AD61" s="170"/>
      <c r="AE61" s="149" t="s">
        <v>18</v>
      </c>
      <c r="AF61" s="149"/>
      <c r="AG61" s="149"/>
      <c r="AH61" s="149"/>
      <c r="AI61" s="149"/>
      <c r="AJ61" s="149"/>
      <c r="AK61" s="149"/>
      <c r="AL61" s="7"/>
      <c r="AN61" s="91"/>
      <c r="AO61" s="91"/>
      <c r="AP61" s="91"/>
      <c r="AQ61" s="91"/>
      <c r="AR61" s="91"/>
      <c r="AS61" s="91"/>
    </row>
    <row r="62" spans="2:45" s="3" customFormat="1" ht="12" customHeight="1">
      <c r="B62" s="6"/>
      <c r="C62" s="20" t="s">
        <v>29</v>
      </c>
      <c r="D62" s="20"/>
      <c r="E62" s="119">
        <f>E38</f>
        <v>0</v>
      </c>
      <c r="F62" s="120"/>
      <c r="G62" s="120"/>
      <c r="H62" s="120"/>
      <c r="I62" s="120"/>
      <c r="J62" s="121"/>
      <c r="K62" s="45"/>
      <c r="L62" s="45"/>
      <c r="M62" s="45"/>
      <c r="N62" s="45"/>
      <c r="O62" s="45"/>
      <c r="P62" s="45"/>
      <c r="Q62" s="45"/>
      <c r="R62" s="45"/>
      <c r="S62" s="45"/>
      <c r="T62" s="89" t="s">
        <v>17</v>
      </c>
      <c r="U62" s="112"/>
      <c r="V62" s="112"/>
      <c r="W62" s="171"/>
      <c r="X62" s="171"/>
      <c r="Y62" s="171"/>
      <c r="Z62" s="171"/>
      <c r="AA62" s="171"/>
      <c r="AB62" s="171"/>
      <c r="AC62" s="171"/>
      <c r="AD62" s="172"/>
      <c r="AE62" s="150">
        <f>AE39</f>
        <v>125.23</v>
      </c>
      <c r="AF62" s="150"/>
      <c r="AG62" s="150"/>
      <c r="AH62" s="150"/>
      <c r="AI62" s="150"/>
      <c r="AJ62" s="150"/>
      <c r="AK62" s="150"/>
      <c r="AL62" s="7"/>
      <c r="AN62" s="91"/>
      <c r="AO62" s="91"/>
      <c r="AP62" s="91"/>
      <c r="AQ62" s="91"/>
      <c r="AR62" s="91"/>
      <c r="AS62" s="91"/>
    </row>
    <row r="63" spans="2:45" s="3" customFormat="1" ht="12" customHeight="1">
      <c r="B63" s="6"/>
      <c r="C63" s="45"/>
      <c r="D63" s="45"/>
      <c r="E63" s="45"/>
      <c r="F63" s="45"/>
      <c r="G63" s="45"/>
      <c r="H63" s="45"/>
      <c r="I63" s="45"/>
      <c r="J63" s="45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122" t="s">
        <v>19</v>
      </c>
      <c r="X63" s="122"/>
      <c r="Y63" s="122"/>
      <c r="Z63" s="122"/>
      <c r="AA63" s="122"/>
      <c r="AB63" s="122"/>
      <c r="AC63" s="122"/>
      <c r="AD63" s="122"/>
      <c r="AE63" s="124" t="s">
        <v>20</v>
      </c>
      <c r="AF63" s="116"/>
      <c r="AG63" s="116"/>
      <c r="AH63" s="116"/>
      <c r="AI63" s="116" t="s">
        <v>21</v>
      </c>
      <c r="AJ63" s="116"/>
      <c r="AK63" s="116"/>
      <c r="AL63" s="7"/>
      <c r="AN63" s="91"/>
      <c r="AO63" s="91"/>
      <c r="AP63" s="91"/>
      <c r="AQ63" s="91"/>
      <c r="AR63" s="91"/>
      <c r="AS63" s="91"/>
    </row>
    <row r="64" spans="2:45" s="3" customFormat="1" ht="12" customHeight="1">
      <c r="B64" s="6"/>
      <c r="C64" s="20" t="s">
        <v>3</v>
      </c>
      <c r="D64" s="45"/>
      <c r="E64" s="45"/>
      <c r="F64" s="164">
        <f>F40</f>
        <v>0</v>
      </c>
      <c r="G64" s="164"/>
      <c r="H64" s="164"/>
      <c r="I64" s="164"/>
      <c r="J64" s="164"/>
      <c r="K64" s="164"/>
      <c r="L64" s="164"/>
      <c r="M64" s="128" t="s">
        <v>23</v>
      </c>
      <c r="N64" s="129"/>
      <c r="O64" s="128"/>
      <c r="P64" s="129"/>
      <c r="Q64" s="129"/>
      <c r="R64" s="129"/>
      <c r="S64" s="130"/>
      <c r="T64" s="160">
        <f>AA37</f>
        <v>0</v>
      </c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24"/>
      <c r="AF64" s="116"/>
      <c r="AG64" s="116"/>
      <c r="AH64" s="116"/>
      <c r="AI64" s="116"/>
      <c r="AJ64" s="116"/>
      <c r="AK64" s="116"/>
      <c r="AL64" s="7"/>
      <c r="AN64" s="91"/>
      <c r="AO64" s="91"/>
      <c r="AP64" s="91"/>
      <c r="AQ64" s="91"/>
      <c r="AR64" s="91"/>
      <c r="AS64" s="91"/>
    </row>
    <row r="65" spans="2:45" s="3" customFormat="1" ht="12" customHeight="1">
      <c r="B65" s="6"/>
      <c r="C65" s="45"/>
      <c r="D65" s="20"/>
      <c r="E65" s="20"/>
      <c r="F65" s="165"/>
      <c r="G65" s="165"/>
      <c r="H65" s="165"/>
      <c r="I65" s="165"/>
      <c r="J65" s="165"/>
      <c r="K65" s="165"/>
      <c r="L65" s="165"/>
      <c r="M65" s="107"/>
      <c r="N65" s="107"/>
      <c r="O65" s="107"/>
      <c r="P65" s="107"/>
      <c r="Q65" s="107"/>
      <c r="R65" s="107"/>
      <c r="S65" s="108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24"/>
      <c r="AF65" s="116"/>
      <c r="AG65" s="116"/>
      <c r="AH65" s="116"/>
      <c r="AI65" s="116"/>
      <c r="AJ65" s="116"/>
      <c r="AK65" s="116"/>
      <c r="AL65" s="7"/>
      <c r="AN65" s="91"/>
      <c r="AO65" s="91"/>
      <c r="AP65" s="91"/>
      <c r="AQ65" s="91"/>
      <c r="AR65" s="91"/>
      <c r="AS65" s="91"/>
    </row>
    <row r="66" spans="2:45" s="3" customFormat="1" ht="12" customHeight="1">
      <c r="B66" s="6"/>
      <c r="C66" s="26" t="s">
        <v>81</v>
      </c>
      <c r="D66" s="26"/>
      <c r="E66" s="26"/>
      <c r="F66" s="26"/>
      <c r="G66" s="161">
        <f>H42</f>
        <v>0</v>
      </c>
      <c r="H66" s="161"/>
      <c r="I66" s="161"/>
      <c r="J66" s="161"/>
      <c r="K66" s="161"/>
      <c r="L66" s="161"/>
      <c r="M66" s="162"/>
      <c r="N66" s="162"/>
      <c r="O66" s="162"/>
      <c r="P66" s="162"/>
      <c r="Q66" s="162"/>
      <c r="R66" s="162"/>
      <c r="S66" s="162"/>
      <c r="T66" s="109" t="s">
        <v>17</v>
      </c>
      <c r="U66" s="110"/>
      <c r="V66" s="111"/>
      <c r="W66" s="166"/>
      <c r="X66" s="166"/>
      <c r="Y66" s="166"/>
      <c r="Z66" s="166"/>
      <c r="AA66" s="166"/>
      <c r="AB66" s="166"/>
      <c r="AC66" s="166"/>
      <c r="AD66" s="167"/>
      <c r="AE66" s="124"/>
      <c r="AF66" s="116"/>
      <c r="AG66" s="116"/>
      <c r="AH66" s="116"/>
      <c r="AI66" s="116"/>
      <c r="AJ66" s="116"/>
      <c r="AK66" s="116"/>
      <c r="AL66" s="7"/>
      <c r="AN66" s="91"/>
      <c r="AO66" s="91"/>
      <c r="AP66" s="91"/>
      <c r="AQ66" s="91"/>
      <c r="AR66" s="91"/>
      <c r="AS66" s="91"/>
    </row>
    <row r="67" spans="2:45" s="3" customFormat="1" ht="12" customHeight="1">
      <c r="B67" s="6"/>
      <c r="C67" s="45" t="s">
        <v>80</v>
      </c>
      <c r="D67" s="45"/>
      <c r="E67" s="45"/>
      <c r="F67" s="45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06"/>
      <c r="U67" s="106"/>
      <c r="V67" s="45"/>
      <c r="W67" s="32"/>
      <c r="X67" s="32"/>
      <c r="Y67" s="32"/>
      <c r="Z67" s="32"/>
      <c r="AA67" s="26"/>
      <c r="AB67" s="26"/>
      <c r="AC67" s="26"/>
      <c r="AD67" s="26"/>
      <c r="AE67" s="153" t="s">
        <v>22</v>
      </c>
      <c r="AF67" s="154"/>
      <c r="AG67" s="154"/>
      <c r="AH67" s="155"/>
      <c r="AI67" s="159"/>
      <c r="AJ67" s="159"/>
      <c r="AK67" s="159"/>
      <c r="AL67" s="7"/>
      <c r="AN67" s="91"/>
      <c r="AO67" s="91"/>
      <c r="AP67" s="91"/>
      <c r="AQ67" s="91"/>
      <c r="AR67" s="91"/>
      <c r="AS67" s="91"/>
    </row>
    <row r="68" spans="2:45" s="3" customFormat="1" ht="12" customHeight="1">
      <c r="B68" s="6"/>
      <c r="C68" s="32" t="s">
        <v>6</v>
      </c>
      <c r="D68" s="32"/>
      <c r="E68" s="32"/>
      <c r="F68" s="32"/>
      <c r="G68" s="145">
        <f>G43</f>
        <v>0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26"/>
      <c r="AE68" s="156"/>
      <c r="AF68" s="157"/>
      <c r="AG68" s="157"/>
      <c r="AH68" s="158"/>
      <c r="AI68" s="159"/>
      <c r="AJ68" s="159"/>
      <c r="AK68" s="159"/>
      <c r="AL68" s="7"/>
      <c r="AN68" s="91"/>
      <c r="AO68" s="91"/>
      <c r="AP68" s="91"/>
      <c r="AQ68" s="91"/>
      <c r="AR68" s="91"/>
      <c r="AS68" s="91"/>
    </row>
    <row r="69" spans="2:45" s="3" customFormat="1" ht="12" customHeight="1">
      <c r="B69" s="6"/>
      <c r="C69" s="32" t="s">
        <v>10</v>
      </c>
      <c r="D69" s="32"/>
      <c r="E69" s="32"/>
      <c r="F69" s="32"/>
      <c r="G69" s="32"/>
      <c r="H69" s="32"/>
      <c r="I69" s="152">
        <f>I46</f>
        <v>0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45"/>
      <c r="AE69" s="146"/>
      <c r="AF69" s="146"/>
      <c r="AG69" s="146"/>
      <c r="AH69" s="146"/>
      <c r="AI69" s="146"/>
      <c r="AJ69" s="146"/>
      <c r="AK69" s="146"/>
      <c r="AL69" s="7"/>
      <c r="AN69" s="91"/>
      <c r="AO69" s="91"/>
      <c r="AP69" s="91"/>
      <c r="AQ69" s="91"/>
      <c r="AR69" s="91"/>
      <c r="AS69" s="91"/>
    </row>
    <row r="70" spans="2:45" s="3" customFormat="1" ht="9.75" customHeight="1">
      <c r="B70" s="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42"/>
      <c r="Y70" s="42"/>
      <c r="Z70" s="42"/>
      <c r="AA70" s="32"/>
      <c r="AB70" s="32"/>
      <c r="AC70" s="25"/>
      <c r="AD70" s="22"/>
      <c r="AE70" s="123" t="s">
        <v>30</v>
      </c>
      <c r="AF70" s="123"/>
      <c r="AG70" s="123"/>
      <c r="AH70" s="123"/>
      <c r="AI70" s="123"/>
      <c r="AJ70" s="123"/>
      <c r="AK70" s="123"/>
      <c r="AL70" s="7"/>
      <c r="AN70" s="91"/>
      <c r="AO70" s="91"/>
      <c r="AP70" s="91"/>
      <c r="AQ70" s="91"/>
      <c r="AR70" s="91"/>
      <c r="AS70" s="91"/>
    </row>
    <row r="71" spans="2:45" s="3" customFormat="1" ht="9.75" customHeight="1">
      <c r="B71" s="6"/>
      <c r="C71" s="131">
        <f>C48</f>
        <v>0</v>
      </c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7"/>
      <c r="AN71" s="91"/>
      <c r="AO71" s="91"/>
      <c r="AP71" s="91"/>
      <c r="AQ71" s="91"/>
      <c r="AR71" s="91"/>
      <c r="AS71" s="91"/>
    </row>
    <row r="72" spans="2:45" s="3" customFormat="1" ht="9.75" customHeight="1">
      <c r="B72" s="6"/>
      <c r="C72" s="123" t="s">
        <v>31</v>
      </c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7"/>
      <c r="AN72" s="91"/>
      <c r="AO72" s="91"/>
      <c r="AP72" s="91"/>
      <c r="AQ72" s="91"/>
      <c r="AR72" s="91"/>
      <c r="AS72" s="91"/>
    </row>
    <row r="73" spans="2:45" s="3" customFormat="1" ht="9.75" customHeight="1">
      <c r="B73" s="6"/>
      <c r="C73" s="131">
        <f>C50</f>
        <v>0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7"/>
      <c r="AN73" s="91"/>
      <c r="AO73" s="91"/>
      <c r="AP73" s="91"/>
      <c r="AQ73" s="91"/>
      <c r="AR73" s="91"/>
      <c r="AS73" s="91"/>
    </row>
    <row r="74" spans="2:45" s="3" customFormat="1" ht="9.75" customHeight="1">
      <c r="B74" s="6"/>
      <c r="C74" s="123" t="s">
        <v>32</v>
      </c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7"/>
      <c r="AN74" s="91"/>
      <c r="AO74" s="91"/>
      <c r="AP74" s="91"/>
      <c r="AQ74" s="91"/>
      <c r="AR74" s="91"/>
      <c r="AS74" s="91"/>
    </row>
    <row r="75" spans="2:45" s="3" customFormat="1" ht="9.75" customHeight="1">
      <c r="B75" s="6"/>
      <c r="C75" s="131">
        <f>C52</f>
        <v>0</v>
      </c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7"/>
      <c r="AN75" s="91"/>
      <c r="AO75" s="91"/>
      <c r="AP75" s="91"/>
      <c r="AQ75" s="91"/>
      <c r="AR75" s="91"/>
      <c r="AS75" s="91"/>
    </row>
    <row r="76" spans="2:45" s="3" customFormat="1" ht="9.75" customHeight="1">
      <c r="B76" s="6"/>
      <c r="C76" s="123" t="s">
        <v>33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7"/>
      <c r="AN76" s="91"/>
      <c r="AO76" s="91"/>
      <c r="AP76" s="91"/>
      <c r="AQ76" s="91"/>
      <c r="AR76" s="91"/>
      <c r="AS76" s="91"/>
    </row>
    <row r="77" spans="2:45" s="3" customFormat="1" ht="9.75" customHeight="1">
      <c r="B77" s="6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29"/>
      <c r="AD77" s="29"/>
      <c r="AE77" s="31"/>
      <c r="AF77" s="31"/>
      <c r="AG77" s="31"/>
      <c r="AH77" s="31"/>
      <c r="AI77" s="31"/>
      <c r="AJ77" s="31"/>
      <c r="AK77" s="31"/>
      <c r="AL77" s="7"/>
      <c r="AN77" s="91"/>
      <c r="AO77" s="91"/>
      <c r="AP77" s="91"/>
      <c r="AQ77" s="91"/>
      <c r="AR77" s="91"/>
      <c r="AS77" s="91"/>
    </row>
    <row r="78" spans="2:45" s="3" customFormat="1" ht="9.75" customHeight="1">
      <c r="B78" s="6"/>
      <c r="C78" s="26" t="s">
        <v>11</v>
      </c>
      <c r="D78" s="29"/>
      <c r="E78" s="29"/>
      <c r="F78" s="24"/>
      <c r="G78" s="26"/>
      <c r="H78" s="26"/>
      <c r="I78" s="26"/>
      <c r="J78" s="26"/>
      <c r="K78" s="26"/>
      <c r="L78" s="146"/>
      <c r="M78" s="146"/>
      <c r="N78" s="146"/>
      <c r="O78" s="146"/>
      <c r="P78" s="146"/>
      <c r="Q78" s="146"/>
      <c r="R78" s="146"/>
      <c r="S78" s="146"/>
      <c r="T78" s="146"/>
      <c r="U78" s="32"/>
      <c r="V78" s="29"/>
      <c r="W78" s="32"/>
      <c r="X78" s="32"/>
      <c r="Y78" s="29" t="s">
        <v>24</v>
      </c>
      <c r="Z78" s="32"/>
      <c r="AA78" s="32"/>
      <c r="AB78" s="146"/>
      <c r="AC78" s="146"/>
      <c r="AD78" s="146"/>
      <c r="AE78" s="146"/>
      <c r="AF78" s="146"/>
      <c r="AG78" s="146"/>
      <c r="AH78" s="146"/>
      <c r="AI78" s="146"/>
      <c r="AJ78" s="146"/>
      <c r="AK78" s="29"/>
      <c r="AL78" s="7"/>
      <c r="AN78" s="91"/>
      <c r="AO78" s="91"/>
      <c r="AP78" s="91"/>
      <c r="AQ78" s="91"/>
      <c r="AR78" s="91"/>
      <c r="AS78" s="91"/>
    </row>
    <row r="79" spans="2:45" s="3" customFormat="1" ht="9.75" customHeight="1">
      <c r="B79" s="6"/>
      <c r="C79" s="26"/>
      <c r="D79" s="29"/>
      <c r="E79" s="29"/>
      <c r="F79" s="24"/>
      <c r="G79" s="26"/>
      <c r="H79" s="26"/>
      <c r="I79" s="26"/>
      <c r="J79" s="26"/>
      <c r="K79" s="26"/>
      <c r="L79" s="18"/>
      <c r="M79" s="18"/>
      <c r="N79" s="18"/>
      <c r="O79" s="18"/>
      <c r="P79" s="18"/>
      <c r="Q79" s="18"/>
      <c r="R79" s="18"/>
      <c r="S79" s="18"/>
      <c r="T79" s="18"/>
      <c r="U79" s="32"/>
      <c r="V79" s="29"/>
      <c r="W79" s="32"/>
      <c r="X79" s="32"/>
      <c r="Y79" s="29"/>
      <c r="Z79" s="32"/>
      <c r="AA79" s="32"/>
      <c r="AB79" s="18"/>
      <c r="AC79" s="18"/>
      <c r="AD79" s="18"/>
      <c r="AE79" s="18"/>
      <c r="AF79" s="18"/>
      <c r="AG79" s="18"/>
      <c r="AH79" s="18"/>
      <c r="AI79" s="18"/>
      <c r="AJ79" s="18"/>
      <c r="AK79" s="29"/>
      <c r="AL79" s="7"/>
      <c r="AN79" s="91"/>
      <c r="AO79" s="91"/>
      <c r="AP79" s="91"/>
      <c r="AQ79" s="91"/>
      <c r="AR79" s="91"/>
      <c r="AS79" s="91"/>
    </row>
    <row r="80" spans="2:45" s="3" customFormat="1" ht="6" customHeight="1">
      <c r="B80" s="6"/>
      <c r="C80" s="39"/>
      <c r="D80" s="43"/>
      <c r="E80" s="43"/>
      <c r="F80" s="39"/>
      <c r="G80" s="39"/>
      <c r="H80" s="39"/>
      <c r="I80" s="39"/>
      <c r="J80" s="26"/>
      <c r="K80" s="26"/>
      <c r="L80" s="18"/>
      <c r="M80" s="18"/>
      <c r="N80" s="18"/>
      <c r="O80" s="18"/>
      <c r="P80" s="18"/>
      <c r="Q80" s="18"/>
      <c r="R80" s="18"/>
      <c r="S80" s="18"/>
      <c r="T80" s="18"/>
      <c r="U80" s="32"/>
      <c r="V80" s="29"/>
      <c r="W80" s="32"/>
      <c r="X80" s="32"/>
      <c r="Y80" s="29"/>
      <c r="Z80" s="32"/>
      <c r="AA80" s="32"/>
      <c r="AB80" s="18"/>
      <c r="AC80" s="18"/>
      <c r="AD80" s="18"/>
      <c r="AE80" s="18"/>
      <c r="AF80" s="18"/>
      <c r="AG80" s="18"/>
      <c r="AH80" s="18"/>
      <c r="AI80" s="18"/>
      <c r="AJ80" s="18"/>
      <c r="AK80" s="29"/>
      <c r="AL80" s="7"/>
      <c r="AN80" s="91"/>
      <c r="AO80" s="91"/>
      <c r="AP80" s="91"/>
      <c r="AQ80" s="91"/>
      <c r="AR80" s="91"/>
      <c r="AS80" s="91"/>
    </row>
    <row r="81" spans="2:45" s="3" customFormat="1" ht="9.75" customHeight="1">
      <c r="B81" s="6"/>
      <c r="C81" s="46" t="s">
        <v>35</v>
      </c>
      <c r="D81" s="29"/>
      <c r="E81" s="29"/>
      <c r="F81" s="24"/>
      <c r="G81" s="26"/>
      <c r="H81" s="26"/>
      <c r="I81" s="26"/>
      <c r="J81" s="26"/>
      <c r="K81" s="26"/>
      <c r="L81" s="18"/>
      <c r="M81" s="18"/>
      <c r="N81" s="18"/>
      <c r="O81" s="18"/>
      <c r="P81" s="18"/>
      <c r="Q81" s="18"/>
      <c r="R81" s="18"/>
      <c r="S81" s="18"/>
      <c r="T81" s="18"/>
      <c r="U81" s="32"/>
      <c r="V81" s="29"/>
      <c r="W81" s="32"/>
      <c r="X81" s="32"/>
      <c r="Y81" s="29"/>
      <c r="Z81" s="32"/>
      <c r="AA81" s="32"/>
      <c r="AB81" s="18"/>
      <c r="AC81" s="18"/>
      <c r="AD81" s="18"/>
      <c r="AE81" s="18"/>
      <c r="AF81" s="18"/>
      <c r="AG81" s="18"/>
      <c r="AH81" s="18"/>
      <c r="AI81" s="18"/>
      <c r="AJ81" s="18"/>
      <c r="AK81" s="29"/>
      <c r="AL81" s="7"/>
      <c r="AN81" s="91"/>
      <c r="AO81" s="91"/>
      <c r="AP81" s="91"/>
      <c r="AQ81" s="91"/>
      <c r="AR81" s="91"/>
      <c r="AS81" s="91"/>
    </row>
    <row r="82" spans="2:45" s="3" customFormat="1" ht="9.75" customHeight="1">
      <c r="B82" s="6"/>
      <c r="C82" s="151" t="s">
        <v>82</v>
      </c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7"/>
      <c r="AN82" s="91"/>
      <c r="AO82" s="91"/>
      <c r="AP82" s="91"/>
      <c r="AQ82" s="91"/>
      <c r="AR82" s="91"/>
      <c r="AS82" s="91"/>
    </row>
    <row r="83" spans="2:45" s="3" customFormat="1" ht="9.75" customHeight="1">
      <c r="B83" s="6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7"/>
      <c r="AN83" s="91"/>
      <c r="AO83" s="91"/>
      <c r="AP83" s="91"/>
      <c r="AQ83" s="91"/>
      <c r="AR83" s="91"/>
      <c r="AS83" s="91"/>
    </row>
    <row r="84" spans="2:45" s="3" customFormat="1" ht="9.75" customHeight="1">
      <c r="B84" s="6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7"/>
      <c r="AN84" s="91"/>
      <c r="AO84" s="91"/>
      <c r="AP84" s="91"/>
      <c r="AQ84" s="91"/>
      <c r="AR84" s="91"/>
      <c r="AS84" s="91"/>
    </row>
    <row r="85" spans="2:38" ht="12" customHeight="1" thickBot="1"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0"/>
    </row>
    <row r="104" s="92" customFormat="1" ht="12" customHeight="1" hidden="1"/>
    <row r="105" s="92" customFormat="1" ht="12" customHeight="1" hidden="1">
      <c r="AH105" s="93"/>
    </row>
    <row r="106" spans="21:39" s="92" customFormat="1" ht="12" customHeight="1" hidden="1"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</row>
    <row r="107" spans="21:39" s="92" customFormat="1" ht="12" customHeight="1" hidden="1">
      <c r="U107" s="94"/>
      <c r="V107" s="94"/>
      <c r="W107" s="94"/>
      <c r="X107" s="94"/>
      <c r="Y107" s="94"/>
      <c r="Z107" s="95"/>
      <c r="AA107" s="95"/>
      <c r="AB107" s="95"/>
      <c r="AC107" s="95"/>
      <c r="AD107" s="95"/>
      <c r="AE107" s="95"/>
      <c r="AF107" s="95"/>
      <c r="AG107" s="96">
        <f>INT(AH107)</f>
        <v>125</v>
      </c>
      <c r="AH107" s="96">
        <f>AE14</f>
        <v>125.23</v>
      </c>
      <c r="AI107" s="95"/>
      <c r="AJ107" s="95"/>
      <c r="AK107" s="97"/>
      <c r="AL107" s="97"/>
      <c r="AM107" s="94"/>
    </row>
    <row r="108" spans="21:39" s="92" customFormat="1" ht="12" customHeight="1" hidden="1">
      <c r="U108" s="94"/>
      <c r="V108" s="94"/>
      <c r="W108" s="94"/>
      <c r="X108" s="94"/>
      <c r="Y108" s="94"/>
      <c r="Z108" s="95"/>
      <c r="AA108" s="95"/>
      <c r="AB108" s="95"/>
      <c r="AC108" s="95"/>
      <c r="AD108" s="95"/>
      <c r="AE108" s="95"/>
      <c r="AF108" s="95">
        <v>1</v>
      </c>
      <c r="AG108" s="98">
        <f>AG107-INT(AG107/10)*10</f>
        <v>5</v>
      </c>
      <c r="AH108" s="96">
        <f>ROUND((AH107-AG107)*100,0)</f>
        <v>23</v>
      </c>
      <c r="AI108" s="95"/>
      <c r="AJ108" s="95"/>
      <c r="AK108" s="97"/>
      <c r="AL108" s="97"/>
      <c r="AM108" s="94"/>
    </row>
    <row r="109" spans="21:39" s="92" customFormat="1" ht="12" customHeight="1" hidden="1">
      <c r="U109" s="94"/>
      <c r="V109" s="94"/>
      <c r="W109" s="94"/>
      <c r="X109" s="94"/>
      <c r="Y109" s="94"/>
      <c r="Z109" s="95"/>
      <c r="AA109" s="95"/>
      <c r="AB109" s="95"/>
      <c r="AC109" s="95"/>
      <c r="AD109" s="95"/>
      <c r="AE109" s="95"/>
      <c r="AF109" s="95">
        <v>2</v>
      </c>
      <c r="AG109" s="99">
        <f>IF(AND(AG108+AG110&gt;=11,AG108+AG110&lt;=19),AG108+AG110,0)</f>
        <v>0</v>
      </c>
      <c r="AH109" s="99">
        <f>INT(AH108)</f>
        <v>23</v>
      </c>
      <c r="AI109" s="95"/>
      <c r="AJ109" s="95"/>
      <c r="AK109" s="97"/>
      <c r="AL109" s="97"/>
      <c r="AM109" s="94"/>
    </row>
    <row r="110" spans="21:39" s="92" customFormat="1" ht="12" customHeight="1" hidden="1">
      <c r="U110" s="94"/>
      <c r="V110" s="94"/>
      <c r="W110" s="94"/>
      <c r="X110" s="94"/>
      <c r="Y110" s="94"/>
      <c r="Z110" s="95"/>
      <c r="AA110" s="95"/>
      <c r="AB110" s="95"/>
      <c r="AC110" s="95"/>
      <c r="AD110" s="95"/>
      <c r="AE110" s="95"/>
      <c r="AF110" s="95">
        <v>3</v>
      </c>
      <c r="AG110" s="99">
        <f>AG107-INT(AG107/100)*100-AG108</f>
        <v>20</v>
      </c>
      <c r="AH110" s="99">
        <f>IF(AH109=0,"",AH109-INT(AH109/10)*10)</f>
        <v>3</v>
      </c>
      <c r="AI110" s="95"/>
      <c r="AJ110" s="95"/>
      <c r="AK110" s="97"/>
      <c r="AL110" s="97"/>
      <c r="AM110" s="94"/>
    </row>
    <row r="111" spans="21:39" s="92" customFormat="1" ht="12" customHeight="1" hidden="1">
      <c r="U111" s="94"/>
      <c r="V111" s="94"/>
      <c r="W111" s="94"/>
      <c r="X111" s="94"/>
      <c r="Y111" s="94"/>
      <c r="Z111" s="95"/>
      <c r="AA111" s="95"/>
      <c r="AB111" s="95"/>
      <c r="AC111" s="95"/>
      <c r="AD111" s="95"/>
      <c r="AE111" s="95"/>
      <c r="AF111" s="95">
        <v>4</v>
      </c>
      <c r="AG111" s="99">
        <f>AG107-INT(AG107/1000)*1000-AG110-AG108</f>
        <v>100</v>
      </c>
      <c r="AH111" s="100">
        <f>IF(AH109=0,"",AH109)</f>
        <v>23</v>
      </c>
      <c r="AI111" s="95">
        <v>0</v>
      </c>
      <c r="AJ111" s="95" t="s">
        <v>83</v>
      </c>
      <c r="AK111" s="97"/>
      <c r="AL111" s="97"/>
      <c r="AM111" s="94"/>
    </row>
    <row r="112" spans="21:39" s="92" customFormat="1" ht="12" customHeight="1" hidden="1">
      <c r="U112" s="94"/>
      <c r="V112" s="94"/>
      <c r="W112" s="94"/>
      <c r="X112" s="94"/>
      <c r="Y112" s="94"/>
      <c r="Z112" s="95"/>
      <c r="AA112" s="95"/>
      <c r="AB112" s="95"/>
      <c r="AC112" s="95"/>
      <c r="AD112" s="95"/>
      <c r="AE112" s="95"/>
      <c r="AF112" s="95">
        <v>5</v>
      </c>
      <c r="AG112" s="99">
        <f>AG107-INT(AG107/10000)*10000-AG110-AG108-AG111</f>
        <v>0</v>
      </c>
      <c r="AH112" s="95">
        <f>AG112/1000</f>
        <v>0</v>
      </c>
      <c r="AI112" s="95"/>
      <c r="AJ112" s="95"/>
      <c r="AK112" s="97"/>
      <c r="AL112" s="97"/>
      <c r="AM112" s="94"/>
    </row>
    <row r="113" spans="21:39" s="92" customFormat="1" ht="12" customHeight="1" hidden="1">
      <c r="U113" s="94"/>
      <c r="V113" s="94"/>
      <c r="W113" s="94"/>
      <c r="X113" s="94"/>
      <c r="Y113" s="94"/>
      <c r="Z113" s="95"/>
      <c r="AA113" s="95"/>
      <c r="AB113" s="95"/>
      <c r="AC113" s="95"/>
      <c r="AD113" s="95"/>
      <c r="AE113" s="95"/>
      <c r="AF113" s="95">
        <v>6</v>
      </c>
      <c r="AG113" s="95"/>
      <c r="AH113" s="99">
        <f>IF(AND(AH112+AH114&gt;=11,AH112+AH114&lt;=19),AH112+AH114,0)</f>
        <v>0</v>
      </c>
      <c r="AI113" s="95"/>
      <c r="AJ113" s="95"/>
      <c r="AK113" s="97"/>
      <c r="AL113" s="97"/>
      <c r="AM113" s="94"/>
    </row>
    <row r="114" spans="21:39" s="92" customFormat="1" ht="12" customHeight="1" hidden="1">
      <c r="U114" s="94"/>
      <c r="V114" s="94"/>
      <c r="W114" s="94"/>
      <c r="X114" s="94"/>
      <c r="Y114" s="94"/>
      <c r="Z114" s="95"/>
      <c r="AA114" s="95"/>
      <c r="AB114" s="95"/>
      <c r="AC114" s="95"/>
      <c r="AD114" s="95"/>
      <c r="AE114" s="95"/>
      <c r="AF114" s="95">
        <v>7</v>
      </c>
      <c r="AG114" s="99">
        <f>AG107-INT(AG107/100000)*100000-AG110-AG108-AG111-AG112</f>
        <v>0</v>
      </c>
      <c r="AH114" s="95">
        <f>AG114/1000</f>
        <v>0</v>
      </c>
      <c r="AI114" s="95"/>
      <c r="AJ114" s="95"/>
      <c r="AK114" s="97"/>
      <c r="AL114" s="97"/>
      <c r="AM114" s="94"/>
    </row>
    <row r="115" spans="21:39" s="92" customFormat="1" ht="12" customHeight="1" hidden="1">
      <c r="U115" s="94"/>
      <c r="V115" s="94"/>
      <c r="W115" s="94"/>
      <c r="X115" s="94"/>
      <c r="Y115" s="94"/>
      <c r="Z115" s="95"/>
      <c r="AA115" s="95"/>
      <c r="AB115" s="95"/>
      <c r="AC115" s="95"/>
      <c r="AD115" s="95"/>
      <c r="AE115" s="95"/>
      <c r="AF115" s="95">
        <v>8</v>
      </c>
      <c r="AG115" s="99">
        <f>AG107-INT(AG107/1000000)*1000000-AG110-AG108-AG111-AG112-AG114</f>
        <v>0</v>
      </c>
      <c r="AH115" s="95">
        <f>AG115/1000</f>
        <v>0</v>
      </c>
      <c r="AI115" s="95"/>
      <c r="AJ115" s="95"/>
      <c r="AK115" s="97"/>
      <c r="AL115" s="97"/>
      <c r="AM115" s="94"/>
    </row>
    <row r="116" spans="21:39" s="92" customFormat="1" ht="12" customHeight="1" hidden="1">
      <c r="U116" s="94"/>
      <c r="V116" s="94"/>
      <c r="W116" s="94"/>
      <c r="X116" s="94"/>
      <c r="Y116" s="94"/>
      <c r="Z116" s="95"/>
      <c r="AA116" s="95"/>
      <c r="AB116" s="95"/>
      <c r="AC116" s="95"/>
      <c r="AD116" s="95"/>
      <c r="AE116" s="95"/>
      <c r="AF116" s="95">
        <v>9</v>
      </c>
      <c r="AG116" s="99">
        <f>AG107-INT(AG107/10000000)*10000000-AG110-AG108-AG111-AG112-AG114-AG115</f>
        <v>0</v>
      </c>
      <c r="AH116" s="95">
        <f>AG116/1000000</f>
        <v>0</v>
      </c>
      <c r="AI116" s="95"/>
      <c r="AJ116" s="95"/>
      <c r="AK116" s="97"/>
      <c r="AL116" s="97"/>
      <c r="AM116" s="94"/>
    </row>
    <row r="117" spans="21:39" s="92" customFormat="1" ht="12" customHeight="1" hidden="1">
      <c r="U117" s="94"/>
      <c r="V117" s="94"/>
      <c r="W117" s="94"/>
      <c r="X117" s="94"/>
      <c r="Y117" s="94"/>
      <c r="Z117" s="95"/>
      <c r="AA117" s="95"/>
      <c r="AB117" s="95"/>
      <c r="AC117" s="95"/>
      <c r="AD117" s="95"/>
      <c r="AE117" s="95"/>
      <c r="AF117" s="95">
        <v>10</v>
      </c>
      <c r="AG117" s="95"/>
      <c r="AH117" s="99">
        <f>IF(AND(AH116+AH118&gt;=11,AH116+AH118&lt;=19),AH116+AH118,0)</f>
        <v>0</v>
      </c>
      <c r="AI117" s="95"/>
      <c r="AJ117" s="95"/>
      <c r="AK117" s="97"/>
      <c r="AL117" s="97"/>
      <c r="AM117" s="94"/>
    </row>
    <row r="118" spans="21:39" s="92" customFormat="1" ht="12" customHeight="1" hidden="1">
      <c r="U118" s="94"/>
      <c r="V118" s="94"/>
      <c r="W118" s="94"/>
      <c r="X118" s="94"/>
      <c r="Y118" s="94"/>
      <c r="Z118" s="95"/>
      <c r="AA118" s="95"/>
      <c r="AB118" s="95"/>
      <c r="AC118" s="95"/>
      <c r="AD118" s="95"/>
      <c r="AE118" s="95"/>
      <c r="AF118" s="95">
        <v>11</v>
      </c>
      <c r="AG118" s="99">
        <f>AG107-INT(AG107/100000000)*100000000-AG110-AG108-AG111-AG112-AG114-AG115-AG116</f>
        <v>0</v>
      </c>
      <c r="AH118" s="95">
        <f>AG118/1000000</f>
        <v>0</v>
      </c>
      <c r="AI118" s="95"/>
      <c r="AJ118" s="95"/>
      <c r="AK118" s="97"/>
      <c r="AL118" s="97"/>
      <c r="AM118" s="94"/>
    </row>
    <row r="119" spans="21:39" s="92" customFormat="1" ht="12" customHeight="1" hidden="1">
      <c r="U119" s="94"/>
      <c r="V119" s="94"/>
      <c r="W119" s="94"/>
      <c r="X119" s="94"/>
      <c r="Y119" s="94"/>
      <c r="Z119" s="95"/>
      <c r="AA119" s="95"/>
      <c r="AB119" s="95"/>
      <c r="AC119" s="95"/>
      <c r="AD119" s="95"/>
      <c r="AE119" s="95"/>
      <c r="AF119" s="95">
        <v>12</v>
      </c>
      <c r="AG119" s="99">
        <f>AG107-INT(AG107/1000000000)*1000000000-AG110-AG108-AG111-AG112-AG114-AG115-AG116-AG118</f>
        <v>0</v>
      </c>
      <c r="AH119" s="95">
        <f>AG119/1000000</f>
        <v>0</v>
      </c>
      <c r="AI119" s="95"/>
      <c r="AJ119" s="95"/>
      <c r="AK119" s="97"/>
      <c r="AL119" s="97"/>
      <c r="AM119" s="94"/>
    </row>
    <row r="120" spans="21:39" s="92" customFormat="1" ht="12" customHeight="1" hidden="1">
      <c r="U120" s="94"/>
      <c r="V120" s="94"/>
      <c r="W120" s="94"/>
      <c r="X120" s="94"/>
      <c r="Y120" s="94"/>
      <c r="Z120" s="95"/>
      <c r="AA120" s="95"/>
      <c r="AB120" s="95"/>
      <c r="AC120" s="95"/>
      <c r="AD120" s="95"/>
      <c r="AE120" s="95"/>
      <c r="AF120" s="95">
        <v>13</v>
      </c>
      <c r="AG120" s="99">
        <f>AG107-INT(AG107/10000000000)*10000000000-AG110-AG108-AG111-AG112-AG114-AG115-AG116-AG118-AG119</f>
        <v>0</v>
      </c>
      <c r="AH120" s="95">
        <f>AG120/1000000000</f>
        <v>0</v>
      </c>
      <c r="AI120" s="95"/>
      <c r="AJ120" s="95"/>
      <c r="AK120" s="97"/>
      <c r="AL120" s="97"/>
      <c r="AM120" s="94"/>
    </row>
    <row r="121" spans="21:39" s="92" customFormat="1" ht="12" customHeight="1" hidden="1">
      <c r="U121" s="94"/>
      <c r="V121" s="94"/>
      <c r="W121" s="94"/>
      <c r="X121" s="94"/>
      <c r="Y121" s="94"/>
      <c r="Z121" s="95"/>
      <c r="AA121" s="95"/>
      <c r="AB121" s="95"/>
      <c r="AC121" s="95"/>
      <c r="AD121" s="95"/>
      <c r="AE121" s="95"/>
      <c r="AF121" s="95">
        <v>14</v>
      </c>
      <c r="AG121" s="99"/>
      <c r="AH121" s="99">
        <f>IF(AND(AH120+AH122&gt;=11,AH120+AH122&lt;=19),AH120+AH122,0)</f>
        <v>0</v>
      </c>
      <c r="AI121" s="95"/>
      <c r="AJ121" s="95"/>
      <c r="AK121" s="97"/>
      <c r="AL121" s="97"/>
      <c r="AM121" s="94"/>
    </row>
    <row r="122" spans="21:39" s="92" customFormat="1" ht="12" customHeight="1" hidden="1">
      <c r="U122" s="94"/>
      <c r="V122" s="94"/>
      <c r="W122" s="94"/>
      <c r="X122" s="94"/>
      <c r="Y122" s="94"/>
      <c r="Z122" s="95"/>
      <c r="AA122" s="95"/>
      <c r="AB122" s="95"/>
      <c r="AC122" s="95"/>
      <c r="AD122" s="95"/>
      <c r="AE122" s="95"/>
      <c r="AF122" s="95">
        <v>15</v>
      </c>
      <c r="AG122" s="99">
        <f>AG107-INT(AG107/100000000000)*100000000000-AG110-AG108-AG111-AG112-AG114-AG115-AG116-AG118-AG119-AG120</f>
        <v>0</v>
      </c>
      <c r="AH122" s="95">
        <f>AG122/1000000000</f>
        <v>0</v>
      </c>
      <c r="AI122" s="95"/>
      <c r="AJ122" s="95"/>
      <c r="AK122" s="97"/>
      <c r="AL122" s="97"/>
      <c r="AM122" s="94"/>
    </row>
    <row r="123" spans="21:39" s="92" customFormat="1" ht="12" customHeight="1" hidden="1">
      <c r="U123" s="94"/>
      <c r="V123" s="94"/>
      <c r="W123" s="94"/>
      <c r="X123" s="94"/>
      <c r="Y123" s="94"/>
      <c r="Z123" s="95"/>
      <c r="AA123" s="95"/>
      <c r="AB123" s="95"/>
      <c r="AC123" s="95"/>
      <c r="AD123" s="95"/>
      <c r="AE123" s="95"/>
      <c r="AF123" s="95">
        <v>16</v>
      </c>
      <c r="AG123" s="99">
        <f>AG107-INT(AG107/1000000000000)*1000000000000-AG110-AG108-AG111-AG112-AG114-AG115-AG116-AG118-AG119-AG120-AG122</f>
        <v>0</v>
      </c>
      <c r="AH123" s="95">
        <f>AG123/1000000000</f>
        <v>0</v>
      </c>
      <c r="AI123" s="95"/>
      <c r="AJ123" s="95"/>
      <c r="AK123" s="97"/>
      <c r="AL123" s="97"/>
      <c r="AM123" s="94"/>
    </row>
    <row r="124" spans="21:39" s="92" customFormat="1" ht="12" customHeight="1" hidden="1">
      <c r="U124" s="94"/>
      <c r="V124" s="94" t="str">
        <f>IF(AG107+AH107=0,"",IF(AND(AG107=0,AH111&lt;10),"Ноль"&amp;AB129&amp;AI111&amp;AH111&amp;Z129&amp;".",IF(AG107=0,"Ноль"&amp;AB129&amp;AH111&amp;Z129&amp;".",IF(AH111&lt;10,AE140&amp;AE139&amp;AE138&amp;AE137&amp;AK137&amp;AE136&amp;AE135&amp;AE134&amp;AE133&amp;AK133&amp;AE132&amp;AE131&amp;AE130&amp;AE129&amp;AK129&amp;AE128&amp;AE127&amp;AE126&amp;AE125&amp;AB129&amp;AI111&amp;AH111&amp;U129&amp;".",AE140&amp;AE139&amp;AE138&amp;AE137&amp;AK137&amp;AE136&amp;AE135&amp;AE134&amp;AE133&amp;AK133&amp;AE132&amp;AE131&amp;AE130&amp;AE129&amp;AK129&amp;AE128&amp;AE127&amp;AE126&amp;AE125&amp;AB129&amp;AH111&amp;U129&amp;"."))))</f>
        <v>Сто двадцать пять белорусских рублей 23 копейки.</v>
      </c>
      <c r="W124" s="94"/>
      <c r="X124" s="94"/>
      <c r="Y124" s="94"/>
      <c r="Z124" s="95"/>
      <c r="AA124" s="95"/>
      <c r="AB124" s="95"/>
      <c r="AC124" s="95"/>
      <c r="AD124" s="95"/>
      <c r="AE124" s="95"/>
      <c r="AF124" s="95"/>
      <c r="AG124" s="101" t="str">
        <f>IF(AG107+AH107=0,"",IF(AND(AG107=0,AH111&lt;10),"Ноль"&amp;AB129&amp;AI111&amp;AH111&amp;Z129&amp;".",IF(AG107=0,"Ноль"&amp;AB129&amp;AH111&amp;Z129&amp;".",IF(AH111&lt;10,AE140&amp;AE139&amp;AE138&amp;AE137&amp;AK137&amp;AE136&amp;AE135&amp;AE134&amp;AE133&amp;AK133&amp;AE132&amp;AE131&amp;AE130&amp;AE129&amp;AK129&amp;AE128&amp;AE127&amp;AE126&amp;AE125&amp;AB129&amp;AI111&amp;AH111&amp;Z129&amp;".",AE140&amp;AE139&amp;AE138&amp;AE137&amp;AK137&amp;AE136&amp;AE135&amp;AE134&amp;AE133&amp;AK133&amp;AE132&amp;AE131&amp;AE130&amp;AE129&amp;AK129&amp;AE128&amp;AE127&amp;AE126&amp;AE125&amp;AB129&amp;AH111&amp;Z129&amp;"."))))</f>
        <v>Сто двадцать пять белорусских рублей 23 копейки.</v>
      </c>
      <c r="AH124" s="95"/>
      <c r="AI124" s="95"/>
      <c r="AJ124" s="95"/>
      <c r="AK124" s="97"/>
      <c r="AL124" s="97"/>
      <c r="AM124" s="94"/>
    </row>
    <row r="125" spans="21:39" s="92" customFormat="1" ht="12" customHeight="1" hidden="1">
      <c r="U125" s="102">
        <f>IF(AND(AH109&gt;=11,AH109&lt;=19),"",IF(AH110=1,V125,""))</f>
      </c>
      <c r="V125" s="95" t="s">
        <v>84</v>
      </c>
      <c r="W125" s="94"/>
      <c r="X125" s="94"/>
      <c r="Y125" s="94"/>
      <c r="Z125" s="102">
        <f>IF(AND(AH109&gt;=11,AH109&lt;=19),"",IF(AH110=1,AA125,""))</f>
      </c>
      <c r="AA125" s="95" t="s">
        <v>84</v>
      </c>
      <c r="AB125" s="102">
        <f>IF(AG109&gt;0,"",IF(AND(Z129="",AG108=1),AC125,IF(AG108=1,AC125&amp;" ","")))</f>
      </c>
      <c r="AC125" s="103" t="s">
        <v>85</v>
      </c>
      <c r="AD125" s="95"/>
      <c r="AE125" s="95" t="str">
        <f>IF(SUM(AG109:AG123)=0,PROPER(AG125),AG125)</f>
        <v> пять</v>
      </c>
      <c r="AF125" s="95">
        <v>1</v>
      </c>
      <c r="AG125" s="101" t="str">
        <f>IF(AND(AG109&lt;20,AG109&gt;10),"",AH125&amp;AJ125&amp;AI125)</f>
        <v> пять</v>
      </c>
      <c r="AH125" s="95">
        <f>IF(AL125=3,IF(AG108=1,"один",IF(AG108=2,"два",IF(AG108=3,"три",""))),IF(AG108=1," один",IF(AG108=2," два",IF(AG108=3," три",""))))</f>
      </c>
      <c r="AI125" s="95" t="str">
        <f>IF(AL125=3,IF(AG108=4,"четыре",IF(AG108=5,"пять",IF(AG108=6,"шесть",""))),IF(AG108=4," четыре",IF(AG108=5," пять",IF(AG108=6," шесть",""))))</f>
        <v> пять</v>
      </c>
      <c r="AJ125" s="95">
        <f>IF(AL125=3,IF(AG108=7,"семь",IF(AG108=8,"восемь",IF(AG108=9,"девять",""))),IF(AG108=7," семь",IF(AG108=8," восемь",IF(AG108=9," девять",""))))</f>
      </c>
      <c r="AK125" s="95"/>
      <c r="AL125" s="95">
        <f>IF(AND(AG140="",AG138="",AG139="",AG137="",AG136="",AG135="",AG134=""),1,0)+IF(AND(AG133="",AG132="",AG131="",AG130="",AG129="",AG128="",AG127=""),1,0)+IF(AG126="",1,0)</f>
        <v>2</v>
      </c>
      <c r="AM125" s="94"/>
    </row>
    <row r="126" spans="21:39" s="92" customFormat="1" ht="12" customHeight="1" hidden="1">
      <c r="U126" s="104" t="str">
        <f>IF(AND(AH109&gt;=11,AH109&lt;=19),"",IF(OR(AH110=2,AH110=3,AH110=4),V126,""))</f>
        <v> копейки</v>
      </c>
      <c r="V126" s="95" t="s">
        <v>86</v>
      </c>
      <c r="W126" s="94"/>
      <c r="X126" s="94"/>
      <c r="Y126" s="94"/>
      <c r="Z126" s="104" t="str">
        <f>IF(AND(AH109&gt;=11,AH109&lt;=19),"",IF(OR(AH110=2,AH110=3,AH110=4),AA126,""))</f>
        <v> копейки</v>
      </c>
      <c r="AA126" s="95" t="s">
        <v>86</v>
      </c>
      <c r="AB126" s="104">
        <f>IF(AG109&gt;0,"",IF(AND(Z129="",OR(AG108=2,AG108=3,AG108=4)),AC126,IF(OR(AG108=2,AG108=3,AG108=4),AC126&amp;" ","")))</f>
      </c>
      <c r="AC126" s="105" t="s">
        <v>87</v>
      </c>
      <c r="AD126" s="95"/>
      <c r="AE126" s="95">
        <f>IF(SUM(AG111:AG123)=0,PROPER(AG126),AG126)</f>
      </c>
      <c r="AF126" s="95">
        <v>2</v>
      </c>
      <c r="AG126" s="101">
        <f>AH126&amp;AJ126&amp;AI126</f>
      </c>
      <c r="AH126" s="95">
        <f>IF(AL126=2,IF(AG109=11,"одиннадцать",IF(AG109=12,"двенадцать",IF(AG109=13,"тринадцать",""))),IF(AG109=11," одиннадцать",IF(AG109=12," двенадцать",IF(AG109=13," тринадцать",""))))</f>
      </c>
      <c r="AI126" s="95">
        <f>IF(AL126=2,IF(AG109=14,"четырнадцать",IF(AG109=15,"пятнадцать",IF(AG109=16,"шестнадцать",""))),IF(AG109=14," четырнадцать",IF(AG109=15," пятнадцать",IF(AG109=16," шестнадцать",""))))</f>
      </c>
      <c r="AJ126" s="95">
        <f>IF(AL126=2,IF(AG109=17,"семнадцать",IF(AG109=18,"восемнадцать",IF(AG109=19,"девятнадцать",""))),IF(AG109=17," семнадцать",IF(AG109=18," восемнадцать",IF(AG109=19," девятнадцать",""))))</f>
      </c>
      <c r="AK126" s="95"/>
      <c r="AL126" s="95">
        <f>IF(AND(AG140="",AG138="",AG139="",AG137="",AG136="",AG135="",AG134=""),1,0)+IF(AND(AG133="",AG132="",AG131="",AG130="",AG129="",AG128="",AG127=""),1,0)</f>
        <v>1</v>
      </c>
      <c r="AM126" s="94"/>
    </row>
    <row r="127" spans="21:39" s="92" customFormat="1" ht="12" customHeight="1" hidden="1">
      <c r="U127" s="104">
        <f>IF(AND(AH109&gt;=11,AH109&lt;=19),"",IF(OR(AH110=0,AH110=5,AH110=6,AH110=7,AH110=8,AH110=9),V127,""))</f>
      </c>
      <c r="V127" s="95" t="s">
        <v>88</v>
      </c>
      <c r="W127" s="94"/>
      <c r="X127" s="94"/>
      <c r="Y127" s="94"/>
      <c r="Z127" s="104">
        <f>IF(AND(AH109&gt;=11,AH109&lt;=19),"",IF(OR(AH110=0,AH110=5,AH110=6,AH110=7,AH110=8,AH110=9),AA127,""))</f>
      </c>
      <c r="AA127" s="95" t="s">
        <v>88</v>
      </c>
      <c r="AB127" s="104" t="str">
        <f>IF(AG109&gt;0,"",IF(AND(Z129="",OR(AG108=0,AG108=5,AG108=6,AG108=7,AG108=8,AG108=9)),AC127,IF(OR(AG108=0,AG108=5,AG108=6,AG108=7,AG108=8,AG108=9),AC127&amp;" ","")))</f>
        <v> белорусских рублей </v>
      </c>
      <c r="AC127" s="105" t="s">
        <v>89</v>
      </c>
      <c r="AD127" s="95"/>
      <c r="AE127" s="95" t="str">
        <f>IF(SUM(AG111:AG123)=0,PROPER(AG127),AG127)</f>
        <v> двадцать</v>
      </c>
      <c r="AF127" s="95">
        <v>3</v>
      </c>
      <c r="AG127" s="101" t="str">
        <f>IF(AND(AG109&lt;20,AG109&gt;10),"",AH127&amp;AJ127&amp;AI127)</f>
        <v> двадцать</v>
      </c>
      <c r="AH127" s="95" t="str">
        <f>IF(AL127=2,IF(AG110=10,"десять",IF(AG110=20,"двадцать",IF(AG110=30,"тридцать",""))),IF(AG110=10," десять",IF(AG110=20," двадцать",IF(AG110=30," тридцать",""))))</f>
        <v> двадцать</v>
      </c>
      <c r="AI127" s="95">
        <f>IF(AL127=2,IF(AG110=40,"сорок",IF(AG110=50,"пятьдесят",IF(AG110=60,"шестьдесят",""))),IF(AG110=40," сорок",IF(AG110=50," пятьдесят",IF(AG110=60," шестьдесят",""))))</f>
      </c>
      <c r="AJ127" s="95">
        <f>IF(AL127=2,IF(AG110=70,"семьдесят",IF(AG110=80,"восемьдесят",IF(AG110=90,"девяносто",""))),IF(AG110=70," семьдесят",IF(AG110=80," восемьдесят",IF(AG110=90," девяносто",""))))</f>
      </c>
      <c r="AK127" s="95"/>
      <c r="AL127" s="95">
        <f>IF(AND(AG140="",AG138="",AG139="",AG137="",AG136="",AG135="",AG134=""),1,0)+IF(AND(AG133="",AG132="",AG131="",AG130="",AG129="",AG128=""),1,0)</f>
        <v>1</v>
      </c>
      <c r="AM127" s="94"/>
    </row>
    <row r="128" spans="21:39" s="92" customFormat="1" ht="12" customHeight="1" hidden="1">
      <c r="U128" s="95">
        <f>IF(AND(AH109&gt;=11,AH109&lt;=19),V127,"")</f>
      </c>
      <c r="V128" s="95"/>
      <c r="W128" s="94"/>
      <c r="X128" s="94"/>
      <c r="Y128" s="94"/>
      <c r="Z128" s="95">
        <f>IF(AND(AH109&gt;=11,AH109&lt;=19),AA127,"")</f>
      </c>
      <c r="AA128" s="95"/>
      <c r="AB128" s="95">
        <f>IF(AND(Z129="",AG109&gt;=11,AG109&lt;=19),AC127,IF(AND(AG109&gt;=11,AG109&lt;=19),AC127&amp;" ",""))</f>
      </c>
      <c r="AC128" s="105"/>
      <c r="AD128" s="95"/>
      <c r="AE128" s="95" t="str">
        <f>IF(SUM(AH112:AH123)=0,PROPER(AG128),AG128)</f>
        <v>Сто</v>
      </c>
      <c r="AF128" s="95">
        <v>4</v>
      </c>
      <c r="AG128" s="101" t="str">
        <f>AH128&amp;AJ128&amp;AI128</f>
        <v>сто</v>
      </c>
      <c r="AH128" s="95" t="str">
        <f>IF(AL128=2,IF(AG111=100,"сто",IF(AG111=200,"двести",IF(AG111=300,"триста",""))),IF(AG111=100," сто",IF(AG111=200," двести",IF(AG111=300," триста",""))))</f>
        <v>сто</v>
      </c>
      <c r="AI128" s="95">
        <f>IF(AL128=2,IF(AG111=400,"четыреста",IF(AG111=500,"пятьсот",IF(AG111=600,"шестьсот",""))),IF(AG111=400," четыреста",IF(AG111=500," пятьсот",IF(AG111=600," шестьсот",""))))</f>
      </c>
      <c r="AJ128" s="95">
        <f>IF(AL128=2,IF(AG111=700,"семьсот",IF(AG111=800,"восемьсот",IF(AG111=900,"девятьсот",""))),IF(AG111=700," семьсот",IF(AG111=800," восемьсот",IF(AG111=900," девятьсот",""))))</f>
      </c>
      <c r="AK128" s="95"/>
      <c r="AL128" s="95">
        <f>IF(AND(AG140="",AG138="",AG139="",AG137="",AG136="",AG135="",AG134=""),1,0)+IF(AND(AG133="",AG132="",AG131="",AG130="",AG129=""),1,0)</f>
        <v>2</v>
      </c>
      <c r="AM128" s="94"/>
    </row>
    <row r="129" spans="21:39" s="92" customFormat="1" ht="12" customHeight="1" hidden="1">
      <c r="U129" s="103" t="str">
        <f>IF(AH111=""," 00 копеек"&amp;U125&amp;U126&amp;U127&amp;U128,U125&amp;U126&amp;U127&amp;U128)</f>
        <v> копейки</v>
      </c>
      <c r="V129" s="95"/>
      <c r="W129" s="94"/>
      <c r="X129" s="94"/>
      <c r="Y129" s="94"/>
      <c r="Z129" s="103" t="str">
        <f>IF(AH108=0,"",Z125&amp;Z126&amp;Z127&amp;Z128)</f>
        <v> копейки</v>
      </c>
      <c r="AA129" s="95"/>
      <c r="AB129" s="103" t="str">
        <f>AB125&amp;AB126&amp;AB127&amp;AB128</f>
        <v> белорусских рублей </v>
      </c>
      <c r="AC129" s="103"/>
      <c r="AD129" s="95"/>
      <c r="AE129" s="95">
        <f>IF(SUM(AH113:AH123)=0,PROPER(AG129),AG129)</f>
      </c>
      <c r="AF129" s="95">
        <v>5</v>
      </c>
      <c r="AG129" s="101">
        <f>IF(AND(AH113&lt;20,AH113&gt;10),"",AH129&amp;AJ129&amp;AI129)</f>
      </c>
      <c r="AH129" s="95">
        <f>IF(AL129=2,IF(AH112=1,"одна",IF(AH112=2,"две",IF(AH112=3,"три",""))),IF(AH112=1," одна",IF(AH112=2," две",IF(AH112=3," три",""))))</f>
      </c>
      <c r="AI129" s="95">
        <f>IF(AL129=2,IF(AH112=4,"четыре",IF(AH112=5,"пять",IF(AH112=6,"шесть",""))),IF(AH112=4," четыре",IF(AH112=5," пять",IF(AH112=6," шесть",""))))</f>
      </c>
      <c r="AJ129" s="95">
        <f>IF(AL129=2,IF(AH112=7,"семь",IF(AH112=8,"восемь",IF(AH112=9,"девять",""))),IF(AH112=7," семь",IF(AH112=8," восемь",IF(AH112=9," девять",""))))</f>
      </c>
      <c r="AK129" s="95">
        <f>IF(AND(AG129="",AG130="",AG131="",AG132=""),"",IF(AND(AH113&lt;20,AH113&gt;10)," тысяч",IF(AH112=1," тысяча",IF(OR(AH112=2,AH112=3,AH112=4)," тысячи"," тысяч"))))</f>
      </c>
      <c r="AL129" s="95">
        <f>IF(AND(AG140="",AG138="",AG139="",AG137="",AG136="",AG135="",AG134=""),1,0)+IF(AND(AG133="",AG132="",AG131="",AG130=""),1,0)</f>
        <v>2</v>
      </c>
      <c r="AM129" s="94"/>
    </row>
    <row r="130" spans="21:39" s="92" customFormat="1" ht="12" customHeight="1" hidden="1">
      <c r="U130" s="94"/>
      <c r="V130" s="94"/>
      <c r="W130" s="94"/>
      <c r="X130" s="94"/>
      <c r="Y130" s="94"/>
      <c r="Z130" s="95"/>
      <c r="AA130" s="95"/>
      <c r="AB130" s="102"/>
      <c r="AC130" s="103"/>
      <c r="AD130" s="95"/>
      <c r="AE130" s="95">
        <f>IF(SUM(AH115:AH123)=0,PROPER(AG130),AG130)</f>
      </c>
      <c r="AF130" s="95">
        <v>6</v>
      </c>
      <c r="AG130" s="101">
        <f>AH130&amp;AJ130&amp;AI130</f>
      </c>
      <c r="AH130" s="95">
        <f>IF(AL130=2,IF(AH113=11,"одиннадцать",IF(AH113=12,"двенадцать",IF(AH113=13,"тринадцать",""))),IF(AH113=11," одиннадцать",IF(AH113=12," двенадцать",IF(AH113=13," тринадцать",""))))</f>
      </c>
      <c r="AI130" s="95">
        <f>IF(AL130=2,IF(AH113=14,"четырнадцать",IF(AH113=15,"пятнадцать",IF(AH113=16,"шестнадцать",""))),IF(AH113=14," четырнадцать",IF(AH113=15," пятнадцать",IF(AH113=16," шестнадцать",""))))</f>
      </c>
      <c r="AJ130" s="95">
        <f>IF(AL130=2,IF(AH113=17,"семнадцать",IF(AH113=18,"восемнадцать",IF(AH113=19,"девятнадцать",""))),IF(AH113=17," семнадцать",IF(AH113=18," восемнадцать",IF(AH113=19," девятнадцать",""))))</f>
      </c>
      <c r="AK130" s="95"/>
      <c r="AL130" s="95">
        <f>IF(AND(AG140="",AG138="",AG139="",AG137="",AG136="",AG135="",AG134=""),1,0)+IF(AND(AG133="",AG132="",AG131=""),1,0)</f>
        <v>2</v>
      </c>
      <c r="AM130" s="94"/>
    </row>
    <row r="131" spans="21:39" s="92" customFormat="1" ht="12" customHeight="1" hidden="1">
      <c r="U131" s="94"/>
      <c r="V131" s="94"/>
      <c r="W131" s="94"/>
      <c r="X131" s="94"/>
      <c r="Y131" s="94"/>
      <c r="Z131" s="95"/>
      <c r="AA131" s="95"/>
      <c r="AB131" s="95"/>
      <c r="AC131" s="95"/>
      <c r="AD131" s="95"/>
      <c r="AE131" s="95">
        <f>IF(SUM(AH115:AH123)=0,PROPER(AG131),AG131)</f>
      </c>
      <c r="AF131" s="95">
        <v>7</v>
      </c>
      <c r="AG131" s="101">
        <f>IF(AND(AH113&lt;20,AH113&gt;10),"",AH131&amp;AJ131&amp;AI131)</f>
      </c>
      <c r="AH131" s="95">
        <f>IF(AL131=2,IF(AH114=10,"десять",IF(AH114=20,"двадцать",IF(AH114=30,"тридцать",""))),IF(AH114=10," десять",IF(AH114=20," двадцать",IF(AH114=30," тридцать",""))))</f>
      </c>
      <c r="AI131" s="95">
        <f>IF(AL131=2,IF(AH114=40,"сорок",IF(AH114=50,"пятьдесят",IF(AH114=60,"шестьдесят",""))),IF(AH114=40," сорок",IF(AH114=50," пятьдесят",IF(AH114=60," шестьдесят",""))))</f>
      </c>
      <c r="AJ131" s="95">
        <f>IF(AL131=2,IF(AH114=70,"семьдесят",IF(AH114=80,"восемьдесят",IF(AH114=90,"девяносто",""))),IF(AH114=70," семьдесят",IF(AH114=80," восемьдесят",IF(AH114=90," девяносто",""))))</f>
      </c>
      <c r="AK131" s="95"/>
      <c r="AL131" s="95">
        <f>IF(AND(AG140="",AG138="",AG139="",AG137="",AG136="",AG135="",AG134=""),1,0)+IF(AND(AG133="",AG132=""),1,0)</f>
        <v>2</v>
      </c>
      <c r="AM131" s="94"/>
    </row>
    <row r="132" spans="21:39" s="92" customFormat="1" ht="12" customHeight="1" hidden="1">
      <c r="U132" s="94"/>
      <c r="V132" s="94"/>
      <c r="W132" s="94"/>
      <c r="X132" s="94"/>
      <c r="Y132" s="94"/>
      <c r="Z132" s="95"/>
      <c r="AA132" s="95"/>
      <c r="AB132" s="95"/>
      <c r="AC132" s="95"/>
      <c r="AD132" s="95"/>
      <c r="AE132" s="95">
        <f>IF(SUM(AH116:AH123)=0,PROPER(AG132),AG132)</f>
      </c>
      <c r="AF132" s="95">
        <v>8</v>
      </c>
      <c r="AG132" s="101">
        <f>AH132&amp;AJ132&amp;AI132</f>
      </c>
      <c r="AH132" s="95">
        <f>IF(AL132=2,IF(AH115=100,"сто",IF(AH115=200,"двести",IF(AH115=300,"триста",""))),IF(AH115=100," сто",IF(AH115=200," двести",IF(AH115=300," триста",""))))</f>
      </c>
      <c r="AI132" s="95">
        <f>IF(AL132=2,IF(AH115=400,"четыреста",IF(AH115=500,"пятьсот",IF(AH115=600,"шестьсот",""))),IF(AH115=400," четыреста",IF(AH115=500," пятьсот",IF(AH115=600," шестьсот",""))))</f>
      </c>
      <c r="AJ132" s="95">
        <f>IF(AL132=2,IF(AH115=700,"семьсот",IF(AH115=800,"восемьсот",IF(AH115=900,"девятьсот",""))),IF(AH115=700," семьсот",IF(AH115=800," восемьсот",IF(AH115=900," девятьсот",""))))</f>
      </c>
      <c r="AK132" s="95"/>
      <c r="AL132" s="95">
        <f>IF(AND(AG140="",AG138="",AG139="",AG137="",AG136="",AG135="",AG134=""),1,0)+IF(AG133="",1,0)</f>
        <v>2</v>
      </c>
      <c r="AM132" s="94"/>
    </row>
    <row r="133" spans="21:39" s="92" customFormat="1" ht="12" customHeight="1" hidden="1">
      <c r="U133" s="94"/>
      <c r="V133" s="94"/>
      <c r="W133" s="94"/>
      <c r="X133" s="94"/>
      <c r="Y133" s="94"/>
      <c r="Z133" s="95"/>
      <c r="AA133" s="95"/>
      <c r="AB133" s="95"/>
      <c r="AC133" s="95"/>
      <c r="AD133" s="95"/>
      <c r="AE133" s="95">
        <f>IF(SUM(AH117:AH123)=0,PROPER(AG133),AG133)</f>
      </c>
      <c r="AF133" s="95">
        <v>9</v>
      </c>
      <c r="AG133" s="101">
        <f>IF(AND(AH117&lt;20,AH117&gt;10),"",AH133&amp;AJ133&amp;AI133)</f>
      </c>
      <c r="AH133" s="95">
        <f>IF(AL133=1,IF(AH116=1,"один",IF(AH116=2,"два",IF(AH116=3,"три",""))),IF(AH116=1," один",IF(AH116=2," два",IF(AH116=3," три",""))))</f>
      </c>
      <c r="AI133" s="95">
        <f>IF(AL133=1,IF(AH116=4,"четыре",IF(AH116=5,"пять",IF(AH116=6,"шесть",""))),IF(AH116=4," четыре",IF(AH116=5," пять",IF(AH116=6," шесть",""))))</f>
      </c>
      <c r="AJ133" s="95">
        <f>IF(AL133=1,IF(AH116=7,"семь",IF(AH116=8,"восемь",IF(AH116=9,"девять",""))),IF(AH116=7," семь",IF(AH116=8," восемь",IF(AH116=9," девять",""))))</f>
      </c>
      <c r="AK133" s="95">
        <f>IF(AND(AG133="",AG134="",AG135="",AG136=""),"",IF(AND(AH117&lt;20,AH117&gt;10)," миллионов",IF(AH116=1," миллион",IF(OR(AH116=2,AH116=3,AH116=4)," миллиона"," миллионов"))))</f>
      </c>
      <c r="AL133" s="95">
        <f>IF(AND(AG140="",AG138="",AG139="",AG137="",AG136="",AG135="",AG134=""),1,0)</f>
        <v>1</v>
      </c>
      <c r="AM133" s="94"/>
    </row>
    <row r="134" spans="21:39" s="92" customFormat="1" ht="12" customHeight="1" hidden="1">
      <c r="U134" s="94"/>
      <c r="V134" s="94"/>
      <c r="W134" s="94"/>
      <c r="X134" s="94"/>
      <c r="Y134" s="94"/>
      <c r="Z134" s="95"/>
      <c r="AA134" s="95"/>
      <c r="AB134" s="95"/>
      <c r="AC134" s="95"/>
      <c r="AD134" s="95"/>
      <c r="AE134" s="95">
        <f>IF(SUM(AH119:AH123)=0,PROPER(AG134),AG134)</f>
      </c>
      <c r="AF134" s="95">
        <v>10</v>
      </c>
      <c r="AG134" s="101">
        <f>AH134&amp;AJ134&amp;AI134</f>
      </c>
      <c r="AH134" s="95">
        <f>IF(AL134=1,IF(AH117=11,"одиннадцать",IF(AH117=12,"двенадцать",IF(AH117=13,"тринадцать",""))),IF(AH117=11," одиннадцать",IF(AH117=12," двенадцать",IF(AH117=13," тринадцать",""))))</f>
      </c>
      <c r="AI134" s="95">
        <f>IF(AL134=1,IF(AH117=14,"четырнадцать",IF(AH117=15,"пятнадцать",IF(AH117=16,"шестнадцать",""))),IF(AH117=14," четырнадцать",IF(AH117=15," пятнадцать",IF(AH117=16," шестнадцать",""))))</f>
      </c>
      <c r="AJ134" s="95">
        <f>IF(AL134=1,IF(AH117=17,"семнадцать",IF(AH117=18,"восемнадцать",IF(AH117=19,"девятнадцать",""))),IF(AH117=17," семнадцать",IF(AH117=18," восемнадцать",IF(AH117=19," девятнадцать",""))))</f>
      </c>
      <c r="AK134" s="95"/>
      <c r="AL134" s="95">
        <f>IF(AND(AG140="",AG138="",AG139="",AG137="",AG136="",AG135=""),1,0)</f>
        <v>1</v>
      </c>
      <c r="AM134" s="94"/>
    </row>
    <row r="135" spans="21:39" s="92" customFormat="1" ht="12" customHeight="1" hidden="1">
      <c r="U135" s="94"/>
      <c r="V135" s="94"/>
      <c r="W135" s="94"/>
      <c r="X135" s="94"/>
      <c r="Y135" s="94"/>
      <c r="Z135" s="95"/>
      <c r="AA135" s="95"/>
      <c r="AB135" s="95"/>
      <c r="AC135" s="95"/>
      <c r="AD135" s="95"/>
      <c r="AE135" s="95">
        <f>IF(SUM(AH119:AH123)=0,PROPER(AG135),AG135)</f>
      </c>
      <c r="AF135" s="95">
        <v>11</v>
      </c>
      <c r="AG135" s="101">
        <f>IF(AND(AH117&lt;20,AH117&gt;10),"",AH135&amp;AJ135&amp;AI135)</f>
      </c>
      <c r="AH135" s="95">
        <f>IF(AL135=1,IF(AH118=10,"десять",IF(AH118=20,"двадцать",IF(AH118=30,"тридцать",""))),IF(AH118=10," десять",IF(AH118=20," двадцать",IF(AH118=30," тридцать",""))))</f>
      </c>
      <c r="AI135" s="95">
        <f>IF(AL135=1,IF(AH118=40,"сорок",IF(AH118=50,"пятьдесят",IF(AH118=60,"шестьдесят",""))),IF(AH118=40," сорок",IF(AH118=50," пятьдесят",IF(AH118=60," шестьдесят",""))))</f>
      </c>
      <c r="AJ135" s="95">
        <f>IF(AL135=1,IF(AH118=70,"семьдесят",IF(AH118=80,"восемьдесят",IF(AH118=90,"девяносто",""))),IF(AH118=70," семьдесят",IF(AH118=80," восемьдесят",IF(AH118=90," девяносто",""))))</f>
      </c>
      <c r="AK135" s="95"/>
      <c r="AL135" s="95">
        <f>IF(AND(AG140="",AG138="",AG139="",AG137="",AG136=""),1,0)</f>
        <v>1</v>
      </c>
      <c r="AM135" s="94"/>
    </row>
    <row r="136" spans="21:39" s="92" customFormat="1" ht="12" customHeight="1" hidden="1">
      <c r="U136" s="94"/>
      <c r="V136" s="94"/>
      <c r="W136" s="94"/>
      <c r="X136" s="94"/>
      <c r="Y136" s="94"/>
      <c r="Z136" s="95"/>
      <c r="AA136" s="95"/>
      <c r="AB136" s="95"/>
      <c r="AC136" s="95"/>
      <c r="AD136" s="95"/>
      <c r="AE136" s="95">
        <f>IF(SUM(AH120:AH123)=0,PROPER(AG136),AG136)</f>
      </c>
      <c r="AF136" s="95">
        <v>12</v>
      </c>
      <c r="AG136" s="101">
        <f>AH136&amp;AJ136&amp;AI136</f>
      </c>
      <c r="AH136" s="95">
        <f>IF(AL136=1,IF(AH119=100,"сто",IF(AH119=200,"двести",IF(AH119=300,"триста",""))),IF(AH119=100," сто",IF(AH119=200," двести",IF(AH119=300," триста",""))))</f>
      </c>
      <c r="AI136" s="95">
        <f>IF(AL136=1,IF(AH119=400,"четыреста",IF(AH119=500,"пятьсот",IF(AH119=600,"шестьсот",""))),IF(AH119=400," четыреста",IF(AH119=500," пятьсот",IF(AH119=600," шестьсот",""))))</f>
      </c>
      <c r="AJ136" s="95">
        <f>IF(AL136=1,IF(AH119=700,"семьсот",IF(AH119=800,"восемьсот",IF(AH119=900,"девятьсот",""))),IF(AH119=700," семьсот",IF(AH119=800," восемьсот",IF(AH119=900," девятьсот",""))))</f>
      </c>
      <c r="AK136" s="95"/>
      <c r="AL136" s="95">
        <f>IF(AND(AG140="",AG138="",AG139="",AG137=""),1,0)</f>
        <v>1</v>
      </c>
      <c r="AM136" s="94"/>
    </row>
    <row r="137" spans="21:39" s="92" customFormat="1" ht="12" customHeight="1" hidden="1">
      <c r="U137" s="94"/>
      <c r="V137" s="94"/>
      <c r="W137" s="94"/>
      <c r="X137" s="94"/>
      <c r="Y137" s="94"/>
      <c r="Z137" s="95"/>
      <c r="AA137" s="95"/>
      <c r="AB137" s="95"/>
      <c r="AC137" s="95"/>
      <c r="AD137" s="95"/>
      <c r="AE137" s="95">
        <f>IF(SUM(AH121:AH123)=0,PROPER(AG137),AG137)</f>
      </c>
      <c r="AF137" s="95">
        <v>13</v>
      </c>
      <c r="AG137" s="101">
        <f>IF(AND(AH121&lt;20,AH121&gt;10),"",AH137&amp;AJ137&amp;AI137)</f>
      </c>
      <c r="AH137" s="95">
        <f>IF(AL137=1,IF(AH120=1,"один",IF(AH120=2,"два",IF(AH120=3,"три",""))),IF(AH120=1," один",IF(AH120=2," два",IF(AH120=3," три",""))))</f>
      </c>
      <c r="AI137" s="95">
        <f>IF(AL137=1,IF(AH120=4,"четыре",IF(AH120=5,"пять",IF(AH120=6,"шесть",""))),IF(AH120=4," четыре",IF(AH120=5," пять",IF(AH120=6," шесть",""))))</f>
      </c>
      <c r="AJ137" s="95">
        <f>IF(AL137=1,IF(AH120=7,"семь",IF(AH120=8,"восемь",IF(AH120=9,"девять",""))),IF(AH120=7," семь",IF(AH120=8," восемь",IF(AH120=9," девять",""))))</f>
      </c>
      <c r="AK137" s="95">
        <f>IF(AND(AG137="",AG138="",AG139="",AG140=""),"",IF(AND(AH121&lt;20,AH121&gt;10)," миллиардов",IF(AH120=1," миллиард",IF(OR(AH120=2,AH120=3,AH120=4)," миллиарда"," миллиардов"))))</f>
      </c>
      <c r="AL137" s="95">
        <f>IF(AND(AG140="",AG138="",AG139=""),1,0)</f>
        <v>1</v>
      </c>
      <c r="AM137" s="94"/>
    </row>
    <row r="138" spans="21:39" s="92" customFormat="1" ht="12" customHeight="1" hidden="1">
      <c r="U138" s="94"/>
      <c r="V138" s="94"/>
      <c r="W138" s="94"/>
      <c r="X138" s="94"/>
      <c r="Y138" s="94"/>
      <c r="Z138" s="95"/>
      <c r="AA138" s="95"/>
      <c r="AB138" s="95"/>
      <c r="AC138" s="95"/>
      <c r="AD138" s="95"/>
      <c r="AE138" s="95">
        <f>IF(AH123=0,PROPER(AG138),AG138)</f>
      </c>
      <c r="AF138" s="95">
        <v>14</v>
      </c>
      <c r="AG138" s="101">
        <f>AH138&amp;AJ138&amp;AI138</f>
      </c>
      <c r="AH138" s="95">
        <f>IF(AL138=1,IF(AH121=11,"одиннадцать",IF(AH121=12,"двенадцать",IF(AH121=13,"тринадцать",""))),IF(AH121=11," одиннадцать",IF(AH121=12," двенадцать",IF(AH121=13," тринадцать",""))))</f>
      </c>
      <c r="AI138" s="95">
        <f>IF(AL138=1,IF(AH121=14,"четырнадцать",IF(AH121=15,"пятнадцать",IF(AH121=16,"шестнадцать",""))),IF(AH121=14," четырнадцать",IF(AH121=15," пятнадцать",IF(AH121=16," шестнадцать",""))))</f>
      </c>
      <c r="AJ138" s="95">
        <f>IF(AL138=1,IF(AH121=17,"семнадцать",IF(AH121=18,"восемнадцать",IF(AH121=19,"девятнадцать",""))),IF(AH121=17," семнадцать",IF(AH121=18," восемнадцать",IF(AH121=19," девятнадцать",""))))</f>
      </c>
      <c r="AK138" s="95"/>
      <c r="AL138" s="95">
        <f>IF(AND(AG139="",AG140=""),1,0)</f>
        <v>1</v>
      </c>
      <c r="AM138" s="94"/>
    </row>
    <row r="139" spans="21:39" s="92" customFormat="1" ht="12" customHeight="1" hidden="1">
      <c r="U139" s="94"/>
      <c r="V139" s="94"/>
      <c r="W139" s="94"/>
      <c r="X139" s="94"/>
      <c r="Y139" s="94"/>
      <c r="Z139" s="95"/>
      <c r="AA139" s="95"/>
      <c r="AB139" s="95"/>
      <c r="AC139" s="95"/>
      <c r="AD139" s="95"/>
      <c r="AE139" s="95">
        <f>IF(SUM(AH123)=0,PROPER(AG139),AG139)</f>
      </c>
      <c r="AF139" s="95">
        <v>15</v>
      </c>
      <c r="AG139" s="101">
        <f>IF(AND(AH121&lt;20,AH121&gt;10),"",AH139&amp;AJ139&amp;AI139)</f>
      </c>
      <c r="AH139" s="95">
        <f>IF(AL139=1,IF(AH122=10,"десять",IF(AH122=20,"двадцать",IF(AH122=30,"тридцать",""))),IF(AH122=10," десять",IF(AH122=20," двадцать",IF(AH122=30," тридцать",""))))</f>
      </c>
      <c r="AI139" s="95">
        <f>IF(AL139=1,IF(AH122=40,"сорок",IF(AH122=50,"пятьдесят",IF(AH122=60,"шестьдесят",""))),IF(AH122=40," сорок",IF(AH122=50," пятьдесят",IF(AH122=60," шестьдесят",""))))</f>
      </c>
      <c r="AJ139" s="95">
        <f>IF(AL139=1,IF(AH122=70,"семьдесят",IF(AH122=80,"восемьдесят",IF(AH122=90,"девяносто",""))),IF(AH122=70," семьдесят",IF(AH122=80," восемьдесят",IF(AH122=90," девяносто",""))))</f>
      </c>
      <c r="AK139" s="95"/>
      <c r="AL139" s="95">
        <f>IF(AG140="",1,0)</f>
        <v>1</v>
      </c>
      <c r="AM139" s="94"/>
    </row>
    <row r="140" spans="21:39" s="92" customFormat="1" ht="12" customHeight="1" hidden="1">
      <c r="U140" s="94"/>
      <c r="V140" s="94"/>
      <c r="W140" s="94"/>
      <c r="X140" s="94"/>
      <c r="Y140" s="94"/>
      <c r="Z140" s="95"/>
      <c r="AA140" s="95"/>
      <c r="AB140" s="95"/>
      <c r="AC140" s="95"/>
      <c r="AD140" s="95"/>
      <c r="AE140" s="95">
        <f>PROPER(AG140)</f>
      </c>
      <c r="AF140" s="95">
        <v>16</v>
      </c>
      <c r="AG140" s="101">
        <f>AH140&amp;AI140</f>
      </c>
      <c r="AH140" s="95">
        <f>IF(AH123=100,"сто",IF(AH123=200,"двести",IF(AH123=300,"триста",IF(AH123=400,"четыреста",IF(AH123=500,"пятьсот",IF(AH123=600,"шестьсот",""))))))</f>
      </c>
      <c r="AI140" s="95">
        <f>IF(AH123=700,"семьсот",IF(AH123=800,"восемьсот",IF(AH123=900,"девятьсот","")))</f>
      </c>
      <c r="AJ140" s="95"/>
      <c r="AK140" s="95"/>
      <c r="AL140" s="95"/>
      <c r="AM140" s="94"/>
    </row>
    <row r="141" spans="21:39" s="92" customFormat="1" ht="12" customHeight="1" hidden="1"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</row>
    <row r="142" spans="21:39" s="92" customFormat="1" ht="12" customHeight="1" hidden="1">
      <c r="U142" s="94"/>
      <c r="V142" s="94"/>
      <c r="W142" s="94"/>
      <c r="X142" s="94"/>
      <c r="Y142" s="94"/>
      <c r="Z142" s="95"/>
      <c r="AA142" s="95"/>
      <c r="AB142" s="95"/>
      <c r="AC142" s="95"/>
      <c r="AD142" s="95"/>
      <c r="AE142" s="95"/>
      <c r="AF142" s="95"/>
      <c r="AG142" s="96">
        <f>INT(AH142)</f>
        <v>125</v>
      </c>
      <c r="AH142" s="96">
        <f>AH107</f>
        <v>125.23</v>
      </c>
      <c r="AI142" s="95"/>
      <c r="AJ142" s="95"/>
      <c r="AK142" s="97"/>
      <c r="AL142" s="97"/>
      <c r="AM142" s="94"/>
    </row>
    <row r="143" spans="21:39" s="92" customFormat="1" ht="12" customHeight="1" hidden="1">
      <c r="U143" s="94"/>
      <c r="V143" s="94"/>
      <c r="W143" s="94"/>
      <c r="X143" s="94"/>
      <c r="Y143" s="94"/>
      <c r="Z143" s="95"/>
      <c r="AA143" s="95"/>
      <c r="AB143" s="95"/>
      <c r="AC143" s="95"/>
      <c r="AD143" s="95"/>
      <c r="AE143" s="95"/>
      <c r="AF143" s="95">
        <v>1</v>
      </c>
      <c r="AG143" s="98">
        <f>AG142-INT(AG142/10)*10</f>
        <v>5</v>
      </c>
      <c r="AH143" s="96">
        <f>ROUND((AH142-AG142)*100,0)</f>
        <v>23</v>
      </c>
      <c r="AI143" s="95"/>
      <c r="AJ143" s="95"/>
      <c r="AK143" s="97"/>
      <c r="AL143" s="97"/>
      <c r="AM143" s="94"/>
    </row>
    <row r="144" spans="21:39" s="92" customFormat="1" ht="12" customHeight="1" hidden="1">
      <c r="U144" s="94"/>
      <c r="V144" s="94"/>
      <c r="W144" s="94"/>
      <c r="X144" s="94"/>
      <c r="Y144" s="94"/>
      <c r="Z144" s="95"/>
      <c r="AA144" s="95"/>
      <c r="AB144" s="95"/>
      <c r="AC144" s="95"/>
      <c r="AD144" s="95"/>
      <c r="AE144" s="95"/>
      <c r="AF144" s="95">
        <v>2</v>
      </c>
      <c r="AG144" s="99">
        <f>IF(AND(AG143+AG145&gt;=11,AG143+AG145&lt;=19),AG143+AG145,0)</f>
        <v>0</v>
      </c>
      <c r="AH144" s="99">
        <f>INT(AH143)</f>
        <v>23</v>
      </c>
      <c r="AI144" s="95"/>
      <c r="AJ144" s="95"/>
      <c r="AK144" s="97"/>
      <c r="AL144" s="97"/>
      <c r="AM144" s="94"/>
    </row>
    <row r="145" spans="21:39" s="92" customFormat="1" ht="12" customHeight="1" hidden="1">
      <c r="U145" s="94"/>
      <c r="V145" s="94"/>
      <c r="W145" s="94"/>
      <c r="X145" s="94"/>
      <c r="Y145" s="94"/>
      <c r="Z145" s="95"/>
      <c r="AA145" s="95"/>
      <c r="AB145" s="95"/>
      <c r="AC145" s="95"/>
      <c r="AD145" s="95"/>
      <c r="AE145" s="95"/>
      <c r="AF145" s="95">
        <v>3</v>
      </c>
      <c r="AG145" s="99">
        <f>AG142-INT(AG142/100)*100-AG143</f>
        <v>20</v>
      </c>
      <c r="AH145" s="99">
        <f>IF(AH144=0,"",AH144-INT(AH144/10)*10)</f>
        <v>3</v>
      </c>
      <c r="AI145" s="95"/>
      <c r="AJ145" s="95"/>
      <c r="AK145" s="97"/>
      <c r="AL145" s="97"/>
      <c r="AM145" s="94"/>
    </row>
    <row r="146" spans="21:39" s="92" customFormat="1" ht="12" customHeight="1" hidden="1">
      <c r="U146" s="94"/>
      <c r="V146" s="94"/>
      <c r="W146" s="94"/>
      <c r="X146" s="94"/>
      <c r="Y146" s="94"/>
      <c r="Z146" s="95"/>
      <c r="AA146" s="95"/>
      <c r="AB146" s="95"/>
      <c r="AC146" s="95"/>
      <c r="AD146" s="95"/>
      <c r="AE146" s="95"/>
      <c r="AF146" s="95">
        <v>4</v>
      </c>
      <c r="AG146" s="99">
        <f>AG142-INT(AG142/1000)*1000-AG145-AG143</f>
        <v>100</v>
      </c>
      <c r="AH146" s="100">
        <f>IF(AH144=0,"",AH144)</f>
        <v>23</v>
      </c>
      <c r="AI146" s="95">
        <v>0</v>
      </c>
      <c r="AJ146" s="95" t="s">
        <v>83</v>
      </c>
      <c r="AK146" s="97"/>
      <c r="AL146" s="97"/>
      <c r="AM146" s="94"/>
    </row>
    <row r="147" spans="21:39" s="92" customFormat="1" ht="12" customHeight="1" hidden="1">
      <c r="U147" s="94"/>
      <c r="V147" s="94"/>
      <c r="W147" s="94"/>
      <c r="X147" s="94"/>
      <c r="Y147" s="94"/>
      <c r="Z147" s="95"/>
      <c r="AA147" s="95"/>
      <c r="AB147" s="95"/>
      <c r="AC147" s="95"/>
      <c r="AD147" s="95"/>
      <c r="AE147" s="95"/>
      <c r="AF147" s="95">
        <v>5</v>
      </c>
      <c r="AG147" s="99">
        <f>AG142-INT(AG142/10000)*10000-AG145-AG143-AG146</f>
        <v>0</v>
      </c>
      <c r="AH147" s="95">
        <f>AG147/1000</f>
        <v>0</v>
      </c>
      <c r="AI147" s="95"/>
      <c r="AJ147" s="95"/>
      <c r="AK147" s="97"/>
      <c r="AL147" s="97"/>
      <c r="AM147" s="94"/>
    </row>
    <row r="148" spans="21:39" s="92" customFormat="1" ht="12" customHeight="1" hidden="1">
      <c r="U148" s="94"/>
      <c r="V148" s="94"/>
      <c r="W148" s="94"/>
      <c r="X148" s="94"/>
      <c r="Y148" s="94"/>
      <c r="Z148" s="95"/>
      <c r="AA148" s="95"/>
      <c r="AB148" s="95"/>
      <c r="AC148" s="95"/>
      <c r="AD148" s="95"/>
      <c r="AE148" s="95"/>
      <c r="AF148" s="95">
        <v>6</v>
      </c>
      <c r="AG148" s="95"/>
      <c r="AH148" s="99">
        <f>IF(AND(AH147+AH149&gt;=11,AH147+AH149&lt;=19),AH147+AH149,0)</f>
        <v>0</v>
      </c>
      <c r="AI148" s="95"/>
      <c r="AJ148" s="95"/>
      <c r="AK148" s="97"/>
      <c r="AL148" s="97"/>
      <c r="AM148" s="94"/>
    </row>
    <row r="149" spans="21:39" s="92" customFormat="1" ht="12" customHeight="1" hidden="1">
      <c r="U149" s="94"/>
      <c r="V149" s="94"/>
      <c r="W149" s="94"/>
      <c r="X149" s="94"/>
      <c r="Y149" s="94"/>
      <c r="Z149" s="95"/>
      <c r="AA149" s="95"/>
      <c r="AB149" s="95"/>
      <c r="AC149" s="95"/>
      <c r="AD149" s="95"/>
      <c r="AE149" s="95"/>
      <c r="AF149" s="95">
        <v>7</v>
      </c>
      <c r="AG149" s="99">
        <f>AG142-INT(AG142/100000)*100000-AG145-AG143-AG146-AG147</f>
        <v>0</v>
      </c>
      <c r="AH149" s="95">
        <f>AG149/1000</f>
        <v>0</v>
      </c>
      <c r="AI149" s="95"/>
      <c r="AJ149" s="95"/>
      <c r="AK149" s="97"/>
      <c r="AL149" s="97"/>
      <c r="AM149" s="94"/>
    </row>
    <row r="150" spans="21:39" s="92" customFormat="1" ht="12" customHeight="1" hidden="1">
      <c r="U150" s="94"/>
      <c r="V150" s="94"/>
      <c r="W150" s="94"/>
      <c r="X150" s="94"/>
      <c r="Y150" s="94"/>
      <c r="Z150" s="95"/>
      <c r="AA150" s="95"/>
      <c r="AB150" s="95"/>
      <c r="AC150" s="95"/>
      <c r="AD150" s="95"/>
      <c r="AE150" s="95"/>
      <c r="AF150" s="95">
        <v>8</v>
      </c>
      <c r="AG150" s="99">
        <f>AG142-INT(AG142/1000000)*1000000-AG145-AG143-AG146-AG147-AG149</f>
        <v>0</v>
      </c>
      <c r="AH150" s="95">
        <f>AG150/1000</f>
        <v>0</v>
      </c>
      <c r="AI150" s="95"/>
      <c r="AJ150" s="95"/>
      <c r="AK150" s="97"/>
      <c r="AL150" s="97"/>
      <c r="AM150" s="94"/>
    </row>
    <row r="151" spans="21:39" s="92" customFormat="1" ht="12" customHeight="1" hidden="1">
      <c r="U151" s="94"/>
      <c r="V151" s="94"/>
      <c r="W151" s="94"/>
      <c r="X151" s="94"/>
      <c r="Y151" s="94"/>
      <c r="Z151" s="95"/>
      <c r="AA151" s="95"/>
      <c r="AB151" s="95"/>
      <c r="AC151" s="95"/>
      <c r="AD151" s="95"/>
      <c r="AE151" s="95"/>
      <c r="AF151" s="95">
        <v>9</v>
      </c>
      <c r="AG151" s="99">
        <f>AG142-INT(AG142/10000000)*10000000-AG145-AG143-AG146-AG147-AG149-AG150</f>
        <v>0</v>
      </c>
      <c r="AH151" s="95">
        <f>AG151/1000000</f>
        <v>0</v>
      </c>
      <c r="AI151" s="95"/>
      <c r="AJ151" s="95"/>
      <c r="AK151" s="97"/>
      <c r="AL151" s="97"/>
      <c r="AM151" s="94"/>
    </row>
    <row r="152" spans="21:39" s="92" customFormat="1" ht="12" customHeight="1" hidden="1">
      <c r="U152" s="94"/>
      <c r="V152" s="94"/>
      <c r="W152" s="94"/>
      <c r="X152" s="94"/>
      <c r="Y152" s="94"/>
      <c r="Z152" s="95"/>
      <c r="AA152" s="95"/>
      <c r="AB152" s="95"/>
      <c r="AC152" s="95"/>
      <c r="AD152" s="95"/>
      <c r="AE152" s="95"/>
      <c r="AF152" s="95">
        <v>10</v>
      </c>
      <c r="AG152" s="95"/>
      <c r="AH152" s="99">
        <f>IF(AND(AH151+AH153&gt;=11,AH151+AH153&lt;=19),AH151+AH153,0)</f>
        <v>0</v>
      </c>
      <c r="AI152" s="95"/>
      <c r="AJ152" s="95"/>
      <c r="AK152" s="97"/>
      <c r="AL152" s="97"/>
      <c r="AM152" s="94"/>
    </row>
    <row r="153" spans="21:39" s="92" customFormat="1" ht="12" customHeight="1" hidden="1">
      <c r="U153" s="94"/>
      <c r="V153" s="94"/>
      <c r="W153" s="94"/>
      <c r="X153" s="94"/>
      <c r="Y153" s="94"/>
      <c r="Z153" s="95"/>
      <c r="AA153" s="95"/>
      <c r="AB153" s="95"/>
      <c r="AC153" s="95"/>
      <c r="AD153" s="95"/>
      <c r="AE153" s="95"/>
      <c r="AF153" s="95">
        <v>11</v>
      </c>
      <c r="AG153" s="99">
        <f>AG142-INT(AG142/100000000)*100000000-AG145-AG143-AG146-AG147-AG149-AG150-AG151</f>
        <v>0</v>
      </c>
      <c r="AH153" s="95">
        <f>AG153/1000000</f>
        <v>0</v>
      </c>
      <c r="AI153" s="95"/>
      <c r="AJ153" s="95"/>
      <c r="AK153" s="97"/>
      <c r="AL153" s="97"/>
      <c r="AM153" s="94"/>
    </row>
    <row r="154" spans="21:39" s="92" customFormat="1" ht="12" customHeight="1" hidden="1">
      <c r="U154" s="94"/>
      <c r="V154" s="94"/>
      <c r="W154" s="94"/>
      <c r="X154" s="94"/>
      <c r="Y154" s="94"/>
      <c r="Z154" s="95"/>
      <c r="AA154" s="95"/>
      <c r="AB154" s="95"/>
      <c r="AC154" s="95"/>
      <c r="AD154" s="95"/>
      <c r="AE154" s="95"/>
      <c r="AF154" s="95">
        <v>12</v>
      </c>
      <c r="AG154" s="99">
        <f>AG142-INT(AG142/1000000000)*1000000000-AG145-AG143-AG146-AG147-AG149-AG150-AG151-AG153</f>
        <v>0</v>
      </c>
      <c r="AH154" s="95">
        <f>AG154/1000000</f>
        <v>0</v>
      </c>
      <c r="AI154" s="95"/>
      <c r="AJ154" s="95"/>
      <c r="AK154" s="97"/>
      <c r="AL154" s="97"/>
      <c r="AM154" s="94"/>
    </row>
    <row r="155" spans="21:39" s="92" customFormat="1" ht="12" customHeight="1" hidden="1">
      <c r="U155" s="94"/>
      <c r="V155" s="94"/>
      <c r="W155" s="94"/>
      <c r="X155" s="94"/>
      <c r="Y155" s="94"/>
      <c r="Z155" s="95"/>
      <c r="AA155" s="95"/>
      <c r="AB155" s="95"/>
      <c r="AC155" s="95"/>
      <c r="AD155" s="95"/>
      <c r="AE155" s="95"/>
      <c r="AF155" s="95">
        <v>13</v>
      </c>
      <c r="AG155" s="99">
        <f>AG142-INT(AG142/10000000000)*10000000000-AG145-AG143-AG146-AG147-AG149-AG150-AG151-AG153-AG154</f>
        <v>0</v>
      </c>
      <c r="AH155" s="95">
        <f>AG155/1000000000</f>
        <v>0</v>
      </c>
      <c r="AI155" s="95"/>
      <c r="AJ155" s="95"/>
      <c r="AK155" s="97"/>
      <c r="AL155" s="97"/>
      <c r="AM155" s="94"/>
    </row>
    <row r="156" spans="21:39" s="92" customFormat="1" ht="12" customHeight="1" hidden="1">
      <c r="U156" s="94"/>
      <c r="V156" s="94"/>
      <c r="W156" s="94"/>
      <c r="X156" s="94"/>
      <c r="Y156" s="94"/>
      <c r="Z156" s="95"/>
      <c r="AA156" s="95"/>
      <c r="AB156" s="95"/>
      <c r="AC156" s="95"/>
      <c r="AD156" s="95"/>
      <c r="AE156" s="95"/>
      <c r="AF156" s="95">
        <v>14</v>
      </c>
      <c r="AG156" s="99"/>
      <c r="AH156" s="99">
        <f>IF(AND(AH155+AH157&gt;=11,AH155+AH157&lt;=19),AH155+AH157,0)</f>
        <v>0</v>
      </c>
      <c r="AI156" s="95"/>
      <c r="AJ156" s="95"/>
      <c r="AK156" s="97"/>
      <c r="AL156" s="97"/>
      <c r="AM156" s="94"/>
    </row>
    <row r="157" spans="21:39" s="92" customFormat="1" ht="12" customHeight="1" hidden="1">
      <c r="U157" s="94"/>
      <c r="V157" s="94"/>
      <c r="W157" s="94"/>
      <c r="X157" s="94"/>
      <c r="Y157" s="94"/>
      <c r="Z157" s="95"/>
      <c r="AA157" s="95"/>
      <c r="AB157" s="95"/>
      <c r="AC157" s="95"/>
      <c r="AD157" s="95"/>
      <c r="AE157" s="95"/>
      <c r="AF157" s="95">
        <v>15</v>
      </c>
      <c r="AG157" s="99">
        <f>AG142-INT(AG142/100000000000)*100000000000-AG145-AG143-AG146-AG147-AG149-AG150-AG151-AG153-AG154-AG155</f>
        <v>0</v>
      </c>
      <c r="AH157" s="95">
        <f>AG157/1000000000</f>
        <v>0</v>
      </c>
      <c r="AI157" s="95"/>
      <c r="AJ157" s="95"/>
      <c r="AK157" s="97"/>
      <c r="AL157" s="97"/>
      <c r="AM157" s="94"/>
    </row>
    <row r="158" spans="21:39" s="92" customFormat="1" ht="12" customHeight="1" hidden="1">
      <c r="U158" s="94"/>
      <c r="V158" s="94"/>
      <c r="W158" s="94"/>
      <c r="X158" s="94"/>
      <c r="Y158" s="94"/>
      <c r="Z158" s="95"/>
      <c r="AA158" s="95"/>
      <c r="AB158" s="95"/>
      <c r="AC158" s="95"/>
      <c r="AD158" s="95"/>
      <c r="AE158" s="95"/>
      <c r="AF158" s="95">
        <v>16</v>
      </c>
      <c r="AG158" s="99">
        <f>AG142-INT(AG142/1000000000000)*1000000000000-AG145-AG143-AG146-AG147-AG149-AG150-AG151-AG153-AG154-AG155-AG157</f>
        <v>0</v>
      </c>
      <c r="AH158" s="95">
        <f>AG158/1000000000</f>
        <v>0</v>
      </c>
      <c r="AI158" s="95"/>
      <c r="AJ158" s="95"/>
      <c r="AK158" s="97"/>
      <c r="AL158" s="97"/>
      <c r="AM158" s="94"/>
    </row>
    <row r="159" spans="21:39" s="92" customFormat="1" ht="12" customHeight="1" hidden="1">
      <c r="U159" s="94"/>
      <c r="V159" s="94" t="str">
        <f>IF(AG142+AH142=0,"",IF(AND(AG142=0,AH146&lt;10),"Ноль"&amp;AB164&amp;AI146&amp;AH146&amp;Z164&amp;".",IF(AG142=0,"Ноль"&amp;AB164&amp;AH146&amp;Z164&amp;".",IF(AH146&lt;10,AE175&amp;AE174&amp;AE173&amp;AE172&amp;AK172&amp;AE171&amp;AE170&amp;AE169&amp;AE168&amp;AK168&amp;AE167&amp;AE166&amp;AE165&amp;AE164&amp;AK164&amp;AE163&amp;AE162&amp;AE161&amp;AE160&amp;AB164&amp;AI146&amp;AH146&amp;U164&amp;".",AE175&amp;AE174&amp;AE173&amp;AE172&amp;AK172&amp;AE171&amp;AE170&amp;AE169&amp;AE168&amp;AK168&amp;AE167&amp;AE166&amp;AE165&amp;AE164&amp;AK164&amp;AE163&amp;AE162&amp;AE161&amp;AE160&amp;AB164&amp;AH146&amp;U164&amp;"."))))</f>
        <v>Сто двадцать пять рублей 23 копейки.</v>
      </c>
      <c r="W159" s="94"/>
      <c r="X159" s="94"/>
      <c r="Y159" s="94"/>
      <c r="Z159" s="95"/>
      <c r="AA159" s="95"/>
      <c r="AB159" s="95"/>
      <c r="AC159" s="95"/>
      <c r="AD159" s="95"/>
      <c r="AE159" s="95"/>
      <c r="AF159" s="95"/>
      <c r="AG159" s="101" t="str">
        <f>IF(AG142+AH142=0,"",IF(AND(AG142=0,AH146&lt;10),"Ноль"&amp;AB164&amp;AI146&amp;AH146&amp;Z164&amp;".",IF(AG142=0,"Ноль"&amp;AB164&amp;AH146&amp;Z164&amp;".",IF(AH146&lt;10,AE175&amp;AE174&amp;AE173&amp;AE172&amp;AK172&amp;AE171&amp;AE170&amp;AE169&amp;AE168&amp;AK168&amp;AE167&amp;AE166&amp;AE165&amp;AE164&amp;AK164&amp;AE163&amp;AE162&amp;AE161&amp;AE160&amp;AB164&amp;AI146&amp;AH146&amp;Z164&amp;".",AE175&amp;AE174&amp;AE173&amp;AE172&amp;AK172&amp;AE171&amp;AE170&amp;AE169&amp;AE168&amp;AK168&amp;AE167&amp;AE166&amp;AE165&amp;AE164&amp;AK164&amp;AE163&amp;AE162&amp;AE161&amp;AE160&amp;AB164&amp;AH146&amp;Z164&amp;"."))))</f>
        <v>Сто двадцать пять рублей 23 копейки.</v>
      </c>
      <c r="AH159" s="95"/>
      <c r="AI159" s="95"/>
      <c r="AJ159" s="95"/>
      <c r="AK159" s="97"/>
      <c r="AL159" s="97"/>
      <c r="AM159" s="94"/>
    </row>
    <row r="160" spans="21:39" s="92" customFormat="1" ht="12" customHeight="1" hidden="1">
      <c r="U160" s="102">
        <f>IF(AND(AH144&gt;=11,AH144&lt;=19),"",IF(AH145=1,V160,""))</f>
      </c>
      <c r="V160" s="95" t="s">
        <v>84</v>
      </c>
      <c r="W160" s="94"/>
      <c r="X160" s="94"/>
      <c r="Y160" s="94"/>
      <c r="Z160" s="102">
        <f>IF(AND(AH144&gt;=11,AH144&lt;=19),"",IF(AH145=1,AA160,""))</f>
      </c>
      <c r="AA160" s="95" t="s">
        <v>84</v>
      </c>
      <c r="AB160" s="102">
        <f>IF(AG144&gt;0,"",IF(AND(Z164="",AG143=1),AC160,IF(AG143=1,AC160&amp;" ","")))</f>
      </c>
      <c r="AC160" s="103" t="s">
        <v>90</v>
      </c>
      <c r="AD160" s="95"/>
      <c r="AE160" s="95" t="str">
        <f>IF(SUM(AG144:AG158)=0,PROPER(AG160),AG160)</f>
        <v> пять</v>
      </c>
      <c r="AF160" s="95">
        <v>1</v>
      </c>
      <c r="AG160" s="101" t="str">
        <f>IF(AND(AG144&lt;20,AG144&gt;10),"",AH160&amp;AJ160&amp;AI160)</f>
        <v> пять</v>
      </c>
      <c r="AH160" s="95">
        <f>IF(AL160=3,IF(AG143=1,"один",IF(AG143=2,"два",IF(AG143=3,"три",""))),IF(AG143=1," один",IF(AG143=2," два",IF(AG143=3," три",""))))</f>
      </c>
      <c r="AI160" s="95" t="str">
        <f>IF(AL160=3,IF(AG143=4,"четыре",IF(AG143=5,"пять",IF(AG143=6,"шесть",""))),IF(AG143=4," четыре",IF(AG143=5," пять",IF(AG143=6," шесть",""))))</f>
        <v> пять</v>
      </c>
      <c r="AJ160" s="95">
        <f>IF(AL160=3,IF(AG143=7,"семь",IF(AG143=8,"восемь",IF(AG143=9,"девять",""))),IF(AG143=7," семь",IF(AG143=8," восемь",IF(AG143=9," девять",""))))</f>
      </c>
      <c r="AK160" s="95"/>
      <c r="AL160" s="95">
        <f>IF(AND(AG175="",AG173="",AG174="",AG172="",AG171="",AG170="",AG169=""),1,0)+IF(AND(AG168="",AG167="",AG166="",AG165="",AG164="",AG163="",AG162=""),1,0)+IF(AG161="",1,0)</f>
        <v>2</v>
      </c>
      <c r="AM160" s="94"/>
    </row>
    <row r="161" spans="21:39" s="92" customFormat="1" ht="12" customHeight="1" hidden="1">
      <c r="U161" s="104" t="str">
        <f>IF(AND(AH144&gt;=11,AH144&lt;=19),"",IF(OR(AH145=2,AH145=3,AH145=4),V161,""))</f>
        <v> копейки</v>
      </c>
      <c r="V161" s="95" t="s">
        <v>86</v>
      </c>
      <c r="W161" s="94"/>
      <c r="X161" s="94"/>
      <c r="Y161" s="94"/>
      <c r="Z161" s="104" t="str">
        <f>IF(AND(AH144&gt;=11,AH144&lt;=19),"",IF(OR(AH145=2,AH145=3,AH145=4),AA161,""))</f>
        <v> копейки</v>
      </c>
      <c r="AA161" s="95" t="s">
        <v>86</v>
      </c>
      <c r="AB161" s="104">
        <f>IF(AG144&gt;0,"",IF(AND(Z164="",OR(AG143=2,AG143=3,AG143=4)),AC161,IF(OR(AG143=2,AG143=3,AG143=4),AC161&amp;" ","")))</f>
      </c>
      <c r="AC161" s="105" t="s">
        <v>91</v>
      </c>
      <c r="AD161" s="95"/>
      <c r="AE161" s="95">
        <f>IF(SUM(AG146:AG158)=0,PROPER(AG161),AG161)</f>
      </c>
      <c r="AF161" s="95">
        <v>2</v>
      </c>
      <c r="AG161" s="101">
        <f>AH161&amp;AJ161&amp;AI161</f>
      </c>
      <c r="AH161" s="95">
        <f>IF(AL161=2,IF(AG144=11,"одиннадцать",IF(AG144=12,"двенадцать",IF(AG144=13,"тринадцать",""))),IF(AG144=11," одиннадцать",IF(AG144=12," двенадцать",IF(AG144=13," тринадцать",""))))</f>
      </c>
      <c r="AI161" s="95">
        <f>IF(AL161=2,IF(AG144=14,"четырнадцать",IF(AG144=15,"пятнадцать",IF(AG144=16,"шестнадцать",""))),IF(AG144=14," четырнадцать",IF(AG144=15," пятнадцать",IF(AG144=16," шестнадцать",""))))</f>
      </c>
      <c r="AJ161" s="95">
        <f>IF(AL161=2,IF(AG144=17,"семнадцать",IF(AG144=18,"восемнадцать",IF(AG144=19,"девятнадцать",""))),IF(AG144=17," семнадцать",IF(AG144=18," восемнадцать",IF(AG144=19," девятнадцать",""))))</f>
      </c>
      <c r="AK161" s="95"/>
      <c r="AL161" s="95">
        <f>IF(AND(AG175="",AG173="",AG174="",AG172="",AG171="",AG170="",AG169=""),1,0)+IF(AND(AG168="",AG167="",AG166="",AG165="",AG164="",AG163="",AG162=""),1,0)</f>
        <v>1</v>
      </c>
      <c r="AM161" s="94"/>
    </row>
    <row r="162" spans="21:39" s="92" customFormat="1" ht="12" customHeight="1" hidden="1">
      <c r="U162" s="104">
        <f>IF(AND(AH144&gt;=11,AH144&lt;=19),"",IF(OR(AH145=0,AH145=5,AH145=6,AH145=7,AH145=8,AH145=9),V162,""))</f>
      </c>
      <c r="V162" s="95" t="s">
        <v>88</v>
      </c>
      <c r="W162" s="94"/>
      <c r="X162" s="94"/>
      <c r="Y162" s="94"/>
      <c r="Z162" s="104">
        <f>IF(AND(AH144&gt;=11,AH144&lt;=19),"",IF(OR(AH145=0,AH145=5,AH145=6,AH145=7,AH145=8,AH145=9),AA162,""))</f>
      </c>
      <c r="AA162" s="95" t="s">
        <v>88</v>
      </c>
      <c r="AB162" s="104" t="str">
        <f>IF(AG144&gt;0,"",IF(AND(Z164="",OR(AG143=0,AG143=5,AG143=6,AG143=7,AG143=8,AG143=9)),AC162,IF(OR(AG143=0,AG143=5,AG143=6,AG143=7,AG143=8,AG143=9),AC162&amp;" ","")))</f>
        <v> рублей </v>
      </c>
      <c r="AC162" s="105" t="s">
        <v>92</v>
      </c>
      <c r="AD162" s="95"/>
      <c r="AE162" s="95" t="str">
        <f>IF(SUM(AG146:AG158)=0,PROPER(AG162),AG162)</f>
        <v> двадцать</v>
      </c>
      <c r="AF162" s="95">
        <v>3</v>
      </c>
      <c r="AG162" s="101" t="str">
        <f>IF(AND(AG144&lt;20,AG144&gt;10),"",AH162&amp;AJ162&amp;AI162)</f>
        <v> двадцать</v>
      </c>
      <c r="AH162" s="95" t="str">
        <f>IF(AL162=2,IF(AG145=10,"десять",IF(AG145=20,"двадцать",IF(AG145=30,"тридцать",""))),IF(AG145=10," десять",IF(AG145=20," двадцать",IF(AG145=30," тридцать",""))))</f>
        <v> двадцать</v>
      </c>
      <c r="AI162" s="95">
        <f>IF(AL162=2,IF(AG145=40,"сорок",IF(AG145=50,"пятьдесят",IF(AG145=60,"шестьдесят",""))),IF(AG145=40," сорок",IF(AG145=50," пятьдесят",IF(AG145=60," шестьдесят",""))))</f>
      </c>
      <c r="AJ162" s="95">
        <f>IF(AL162=2,IF(AG145=70,"семьдесят",IF(AG145=80,"восемьдесят",IF(AG145=90,"девяносто",""))),IF(AG145=70," семьдесят",IF(AG145=80," восемьдесят",IF(AG145=90," девяносто",""))))</f>
      </c>
      <c r="AK162" s="95"/>
      <c r="AL162" s="95">
        <f>IF(AND(AG175="",AG173="",AG174="",AG172="",AG171="",AG170="",AG169=""),1,0)+IF(AND(AG168="",AG167="",AG166="",AG165="",AG164="",AG163=""),1,0)</f>
        <v>1</v>
      </c>
      <c r="AM162" s="94"/>
    </row>
    <row r="163" spans="21:39" s="92" customFormat="1" ht="12" customHeight="1" hidden="1">
      <c r="U163" s="95">
        <f>IF(AND(AH144&gt;=11,AH144&lt;=19),V162,"")</f>
      </c>
      <c r="V163" s="95"/>
      <c r="W163" s="94"/>
      <c r="X163" s="94"/>
      <c r="Y163" s="94"/>
      <c r="Z163" s="95">
        <f>IF(AND(AH144&gt;=11,AH144&lt;=19),AA162,"")</f>
      </c>
      <c r="AA163" s="95"/>
      <c r="AB163" s="95">
        <f>IF(AND(Z164="",AG144&gt;=11,AG144&lt;=19),AC162,IF(AND(AG144&gt;=11,AG144&lt;=19),AC162&amp;" ",""))</f>
      </c>
      <c r="AC163" s="105"/>
      <c r="AD163" s="95"/>
      <c r="AE163" s="95" t="str">
        <f>IF(SUM(AH147:AH158)=0,PROPER(AG163),AG163)</f>
        <v>Сто</v>
      </c>
      <c r="AF163" s="95">
        <v>4</v>
      </c>
      <c r="AG163" s="101" t="str">
        <f>AH163&amp;AJ163&amp;AI163</f>
        <v>сто</v>
      </c>
      <c r="AH163" s="95" t="str">
        <f>IF(AL163=2,IF(AG146=100,"сто",IF(AG146=200,"двести",IF(AG146=300,"триста",""))),IF(AG146=100," сто",IF(AG146=200," двести",IF(AG146=300," триста",""))))</f>
        <v>сто</v>
      </c>
      <c r="AI163" s="95">
        <f>IF(AL163=2,IF(AG146=400,"четыреста",IF(AG146=500,"пятьсот",IF(AG146=600,"шестьсот",""))),IF(AG146=400," четыреста",IF(AG146=500," пятьсот",IF(AG146=600," шестьсот",""))))</f>
      </c>
      <c r="AJ163" s="95">
        <f>IF(AL163=2,IF(AG146=700,"семьсот",IF(AG146=800,"восемьсот",IF(AG146=900,"девятьсот",""))),IF(AG146=700," семьсот",IF(AG146=800," восемьсот",IF(AG146=900," девятьсот",""))))</f>
      </c>
      <c r="AK163" s="95"/>
      <c r="AL163" s="95">
        <f>IF(AND(AG175="",AG173="",AG174="",AG172="",AG171="",AG170="",AG169=""),1,0)+IF(AND(AG168="",AG167="",AG166="",AG165="",AG164=""),1,0)</f>
        <v>2</v>
      </c>
      <c r="AM163" s="94"/>
    </row>
    <row r="164" spans="21:39" s="92" customFormat="1" ht="12" customHeight="1" hidden="1">
      <c r="U164" s="103" t="str">
        <f>IF(AH146=""," 00 копеек"&amp;U160&amp;U161&amp;U162&amp;U163,U160&amp;U161&amp;U162&amp;U163)</f>
        <v> копейки</v>
      </c>
      <c r="V164" s="95"/>
      <c r="W164" s="94"/>
      <c r="X164" s="94"/>
      <c r="Y164" s="94"/>
      <c r="Z164" s="103" t="str">
        <f>IF(AH143=0,"",Z160&amp;Z161&amp;Z162&amp;Z163)</f>
        <v> копейки</v>
      </c>
      <c r="AA164" s="95"/>
      <c r="AB164" s="103" t="str">
        <f>AB160&amp;AB161&amp;AB162&amp;AB163</f>
        <v> рублей </v>
      </c>
      <c r="AC164" s="103"/>
      <c r="AD164" s="95"/>
      <c r="AE164" s="95">
        <f>IF(SUM(AH148:AH158)=0,PROPER(AG164),AG164)</f>
      </c>
      <c r="AF164" s="95">
        <v>5</v>
      </c>
      <c r="AG164" s="101">
        <f>IF(AND(AH148&lt;20,AH148&gt;10),"",AH164&amp;AJ164&amp;AI164)</f>
      </c>
      <c r="AH164" s="95">
        <f>IF(AL164=2,IF(AH147=1,"одна",IF(AH147=2,"две",IF(AH147=3,"три",""))),IF(AH147=1," одна",IF(AH147=2," две",IF(AH147=3," три",""))))</f>
      </c>
      <c r="AI164" s="95">
        <f>IF(AL164=2,IF(AH147=4,"четыре",IF(AH147=5,"пять",IF(AH147=6,"шесть",""))),IF(AH147=4," четыре",IF(AH147=5," пять",IF(AH147=6," шесть",""))))</f>
      </c>
      <c r="AJ164" s="95">
        <f>IF(AL164=2,IF(AH147=7,"семь",IF(AH147=8,"восемь",IF(AH147=9,"девять",""))),IF(AH147=7," семь",IF(AH147=8," восемь",IF(AH147=9," девять",""))))</f>
      </c>
      <c r="AK164" s="95">
        <f>IF(AND(AG164="",AG165="",AG166="",AG167=""),"",IF(AND(AH148&lt;20,AH148&gt;10)," тысяч",IF(AH147=1," тысяча",IF(OR(AH147=2,AH147=3,AH147=4)," тысячи"," тысяч"))))</f>
      </c>
      <c r="AL164" s="95">
        <f>IF(AND(AG175="",AG173="",AG174="",AG172="",AG171="",AG170="",AG169=""),1,0)+IF(AND(AG168="",AG167="",AG166="",AG165=""),1,0)</f>
        <v>2</v>
      </c>
      <c r="AM164" s="94"/>
    </row>
    <row r="165" spans="21:39" s="92" customFormat="1" ht="12" customHeight="1" hidden="1">
      <c r="U165" s="94"/>
      <c r="V165" s="94"/>
      <c r="W165" s="94"/>
      <c r="X165" s="94"/>
      <c r="Y165" s="94"/>
      <c r="Z165" s="95"/>
      <c r="AA165" s="95"/>
      <c r="AB165" s="102"/>
      <c r="AC165" s="103"/>
      <c r="AD165" s="95"/>
      <c r="AE165" s="95">
        <f>IF(SUM(AH150:AH158)=0,PROPER(AG165),AG165)</f>
      </c>
      <c r="AF165" s="95">
        <v>6</v>
      </c>
      <c r="AG165" s="101">
        <f>AH165&amp;AJ165&amp;AI165</f>
      </c>
      <c r="AH165" s="95">
        <f>IF(AL165=2,IF(AH148=11,"одиннадцать",IF(AH148=12,"двенадцать",IF(AH148=13,"тринадцать",""))),IF(AH148=11," одиннадцать",IF(AH148=12," двенадцать",IF(AH148=13," тринадцать",""))))</f>
      </c>
      <c r="AI165" s="95">
        <f>IF(AL165=2,IF(AH148=14,"четырнадцать",IF(AH148=15,"пятнадцать",IF(AH148=16,"шестнадцать",""))),IF(AH148=14," четырнадцать",IF(AH148=15," пятнадцать",IF(AH148=16," шестнадцать",""))))</f>
      </c>
      <c r="AJ165" s="95">
        <f>IF(AL165=2,IF(AH148=17,"семнадцать",IF(AH148=18,"восемнадцать",IF(AH148=19,"девятнадцать",""))),IF(AH148=17," семнадцать",IF(AH148=18," восемнадцать",IF(AH148=19," девятнадцать",""))))</f>
      </c>
      <c r="AK165" s="95"/>
      <c r="AL165" s="95">
        <f>IF(AND(AG175="",AG173="",AG174="",AG172="",AG171="",AG170="",AG169=""),1,0)+IF(AND(AG168="",AG167="",AG166=""),1,0)</f>
        <v>2</v>
      </c>
      <c r="AM165" s="94"/>
    </row>
    <row r="166" spans="21:39" s="92" customFormat="1" ht="12" customHeight="1" hidden="1">
      <c r="U166" s="94"/>
      <c r="V166" s="94"/>
      <c r="W166" s="94"/>
      <c r="X166" s="94"/>
      <c r="Y166" s="94"/>
      <c r="Z166" s="95"/>
      <c r="AA166" s="95"/>
      <c r="AB166" s="95"/>
      <c r="AC166" s="95"/>
      <c r="AD166" s="95"/>
      <c r="AE166" s="95">
        <f>IF(SUM(AH150:AH158)=0,PROPER(AG166),AG166)</f>
      </c>
      <c r="AF166" s="95">
        <v>7</v>
      </c>
      <c r="AG166" s="101">
        <f>IF(AND(AH148&lt;20,AH148&gt;10),"",AH166&amp;AJ166&amp;AI166)</f>
      </c>
      <c r="AH166" s="95">
        <f>IF(AL166=2,IF(AH149=10,"десять",IF(AH149=20,"двадцать",IF(AH149=30,"тридцать",""))),IF(AH149=10," десять",IF(AH149=20," двадцать",IF(AH149=30," тридцать",""))))</f>
      </c>
      <c r="AI166" s="95">
        <f>IF(AL166=2,IF(AH149=40,"сорок",IF(AH149=50,"пятьдесят",IF(AH149=60,"шестьдесят",""))),IF(AH149=40," сорок",IF(AH149=50," пятьдесят",IF(AH149=60," шестьдесят",""))))</f>
      </c>
      <c r="AJ166" s="95">
        <f>IF(AL166=2,IF(AH149=70,"семьдесят",IF(AH149=80,"восемьдесят",IF(AH149=90,"девяносто",""))),IF(AH149=70," семьдесят",IF(AH149=80," восемьдесят",IF(AH149=90," девяносто",""))))</f>
      </c>
      <c r="AK166" s="95"/>
      <c r="AL166" s="95">
        <f>IF(AND(AG175="",AG173="",AG174="",AG172="",AG171="",AG170="",AG169=""),1,0)+IF(AND(AG168="",AG167=""),1,0)</f>
        <v>2</v>
      </c>
      <c r="AM166" s="94"/>
    </row>
    <row r="167" spans="21:39" s="92" customFormat="1" ht="12" customHeight="1" hidden="1">
      <c r="U167" s="94"/>
      <c r="V167" s="94"/>
      <c r="W167" s="94"/>
      <c r="X167" s="94"/>
      <c r="Y167" s="94"/>
      <c r="Z167" s="95"/>
      <c r="AA167" s="95"/>
      <c r="AB167" s="95"/>
      <c r="AC167" s="95"/>
      <c r="AD167" s="95"/>
      <c r="AE167" s="95">
        <f>IF(SUM(AH151:AH158)=0,PROPER(AG167),AG167)</f>
      </c>
      <c r="AF167" s="95">
        <v>8</v>
      </c>
      <c r="AG167" s="101">
        <f>AH167&amp;AJ167&amp;AI167</f>
      </c>
      <c r="AH167" s="95">
        <f>IF(AL167=2,IF(AH150=100,"сто",IF(AH150=200,"двести",IF(AH150=300,"триста",""))),IF(AH150=100," сто",IF(AH150=200," двести",IF(AH150=300," триста",""))))</f>
      </c>
      <c r="AI167" s="95">
        <f>IF(AL167=2,IF(AH150=400,"четыреста",IF(AH150=500,"пятьсот",IF(AH150=600,"шестьсот",""))),IF(AH150=400," четыреста",IF(AH150=500," пятьсот",IF(AH150=600," шестьсот",""))))</f>
      </c>
      <c r="AJ167" s="95">
        <f>IF(AL167=2,IF(AH150=700,"семьсот",IF(AH150=800,"восемьсот",IF(AH150=900,"девятьсот",""))),IF(AH150=700," семьсот",IF(AH150=800," восемьсот",IF(AH150=900," девятьсот",""))))</f>
      </c>
      <c r="AK167" s="95"/>
      <c r="AL167" s="95">
        <f>IF(AND(AG175="",AG173="",AG174="",AG172="",AG171="",AG170="",AG169=""),1,0)+IF(AG168="",1,0)</f>
        <v>2</v>
      </c>
      <c r="AM167" s="94"/>
    </row>
    <row r="168" spans="21:39" s="92" customFormat="1" ht="12" customHeight="1" hidden="1">
      <c r="U168" s="94"/>
      <c r="V168" s="94"/>
      <c r="W168" s="94"/>
      <c r="X168" s="94"/>
      <c r="Y168" s="94"/>
      <c r="Z168" s="95"/>
      <c r="AA168" s="95"/>
      <c r="AB168" s="95"/>
      <c r="AC168" s="95"/>
      <c r="AD168" s="95"/>
      <c r="AE168" s="95">
        <f>IF(SUM(AH152:AH158)=0,PROPER(AG168),AG168)</f>
      </c>
      <c r="AF168" s="95">
        <v>9</v>
      </c>
      <c r="AG168" s="101">
        <f>IF(AND(AH152&lt;20,AH152&gt;10),"",AH168&amp;AJ168&amp;AI168)</f>
      </c>
      <c r="AH168" s="95">
        <f>IF(AL168=1,IF(AH151=1,"один",IF(AH151=2,"два",IF(AH151=3,"три",""))),IF(AH151=1," один",IF(AH151=2," два",IF(AH151=3," три",""))))</f>
      </c>
      <c r="AI168" s="95">
        <f>IF(AL168=1,IF(AH151=4,"четыре",IF(AH151=5,"пять",IF(AH151=6,"шесть",""))),IF(AH151=4," четыре",IF(AH151=5," пять",IF(AH151=6," шесть",""))))</f>
      </c>
      <c r="AJ168" s="95">
        <f>IF(AL168=1,IF(AH151=7,"семь",IF(AH151=8,"восемь",IF(AH151=9,"девять",""))),IF(AH151=7," семь",IF(AH151=8," восемь",IF(AH151=9," девять",""))))</f>
      </c>
      <c r="AK168" s="95">
        <f>IF(AND(AG168="",AG169="",AG170="",AG171=""),"",IF(AND(AH152&lt;20,AH152&gt;10)," миллионов",IF(AH151=1," миллион",IF(OR(AH151=2,AH151=3,AH151=4)," миллиона"," миллионов"))))</f>
      </c>
      <c r="AL168" s="95">
        <f>IF(AND(AG175="",AG173="",AG174="",AG172="",AG171="",AG170="",AG169=""),1,0)</f>
        <v>1</v>
      </c>
      <c r="AM168" s="94"/>
    </row>
    <row r="169" spans="21:39" s="92" customFormat="1" ht="12" customHeight="1" hidden="1">
      <c r="U169" s="94"/>
      <c r="V169" s="94"/>
      <c r="W169" s="94"/>
      <c r="X169" s="94"/>
      <c r="Y169" s="94"/>
      <c r="Z169" s="95"/>
      <c r="AA169" s="95"/>
      <c r="AB169" s="95"/>
      <c r="AC169" s="95"/>
      <c r="AD169" s="95"/>
      <c r="AE169" s="95">
        <f>IF(SUM(AH154:AH158)=0,PROPER(AG169),AG169)</f>
      </c>
      <c r="AF169" s="95">
        <v>10</v>
      </c>
      <c r="AG169" s="101">
        <f>AH169&amp;AJ169&amp;AI169</f>
      </c>
      <c r="AH169" s="95">
        <f>IF(AL169=1,IF(AH152=11,"одиннадцать",IF(AH152=12,"двенадцать",IF(AH152=13,"тринадцать",""))),IF(AH152=11," одиннадцать",IF(AH152=12," двенадцать",IF(AH152=13," тринадцать",""))))</f>
      </c>
      <c r="AI169" s="95">
        <f>IF(AL169=1,IF(AH152=14,"четырнадцать",IF(AH152=15,"пятнадцать",IF(AH152=16,"шестнадцать",""))),IF(AH152=14," четырнадцать",IF(AH152=15," пятнадцать",IF(AH152=16," шестнадцать",""))))</f>
      </c>
      <c r="AJ169" s="95">
        <f>IF(AL169=1,IF(AH152=17,"семнадцать",IF(AH152=18,"восемнадцать",IF(AH152=19,"девятнадцать",""))),IF(AH152=17," семнадцать",IF(AH152=18," восемнадцать",IF(AH152=19," девятнадцать",""))))</f>
      </c>
      <c r="AK169" s="95"/>
      <c r="AL169" s="95">
        <f>IF(AND(AG175="",AG173="",AG174="",AG172="",AG171="",AG170=""),1,0)</f>
        <v>1</v>
      </c>
      <c r="AM169" s="94"/>
    </row>
    <row r="170" spans="21:39" s="92" customFormat="1" ht="12" customHeight="1" hidden="1">
      <c r="U170" s="94"/>
      <c r="V170" s="94"/>
      <c r="W170" s="94"/>
      <c r="X170" s="94"/>
      <c r="Y170" s="94"/>
      <c r="Z170" s="95"/>
      <c r="AA170" s="95"/>
      <c r="AB170" s="95"/>
      <c r="AC170" s="95"/>
      <c r="AD170" s="95"/>
      <c r="AE170" s="95">
        <f>IF(SUM(AH154:AH158)=0,PROPER(AG170),AG170)</f>
      </c>
      <c r="AF170" s="95">
        <v>11</v>
      </c>
      <c r="AG170" s="101">
        <f>IF(AND(AH152&lt;20,AH152&gt;10),"",AH170&amp;AJ170&amp;AI170)</f>
      </c>
      <c r="AH170" s="95">
        <f>IF(AL170=1,IF(AH153=10,"десять",IF(AH153=20,"двадцать",IF(AH153=30,"тридцать",""))),IF(AH153=10," десять",IF(AH153=20," двадцать",IF(AH153=30," тридцать",""))))</f>
      </c>
      <c r="AI170" s="95">
        <f>IF(AL170=1,IF(AH153=40,"сорок",IF(AH153=50,"пятьдесят",IF(AH153=60,"шестьдесят",""))),IF(AH153=40," сорок",IF(AH153=50," пятьдесят",IF(AH153=60," шестьдесят",""))))</f>
      </c>
      <c r="AJ170" s="95">
        <f>IF(AL170=1,IF(AH153=70,"семьдесят",IF(AH153=80,"восемьдесят",IF(AH153=90,"девяносто",""))),IF(AH153=70," семьдесят",IF(AH153=80," восемьдесят",IF(AH153=90," девяносто",""))))</f>
      </c>
      <c r="AK170" s="95"/>
      <c r="AL170" s="95">
        <f>IF(AND(AG175="",AG173="",AG174="",AG172="",AG171=""),1,0)</f>
        <v>1</v>
      </c>
      <c r="AM170" s="94"/>
    </row>
    <row r="171" spans="21:39" s="92" customFormat="1" ht="12" customHeight="1" hidden="1">
      <c r="U171" s="94"/>
      <c r="V171" s="94"/>
      <c r="W171" s="94"/>
      <c r="X171" s="94"/>
      <c r="Y171" s="94"/>
      <c r="Z171" s="95"/>
      <c r="AA171" s="95"/>
      <c r="AB171" s="95"/>
      <c r="AC171" s="95"/>
      <c r="AD171" s="95"/>
      <c r="AE171" s="95">
        <f>IF(SUM(AH155:AH158)=0,PROPER(AG171),AG171)</f>
      </c>
      <c r="AF171" s="95">
        <v>12</v>
      </c>
      <c r="AG171" s="101">
        <f>AH171&amp;AJ171&amp;AI171</f>
      </c>
      <c r="AH171" s="95">
        <f>IF(AL171=1,IF(AH154=100,"сто",IF(AH154=200,"двести",IF(AH154=300,"триста",""))),IF(AH154=100," сто",IF(AH154=200," двести",IF(AH154=300," триста",""))))</f>
      </c>
      <c r="AI171" s="95">
        <f>IF(AL171=1,IF(AH154=400,"четыреста",IF(AH154=500,"пятьсот",IF(AH154=600,"шестьсот",""))),IF(AH154=400," четыреста",IF(AH154=500," пятьсот",IF(AH154=600," шестьсот",""))))</f>
      </c>
      <c r="AJ171" s="95">
        <f>IF(AL171=1,IF(AH154=700,"семьсот",IF(AH154=800,"восемьсот",IF(AH154=900,"девятьсот",""))),IF(AH154=700," семьсот",IF(AH154=800," восемьсот",IF(AH154=900," девятьсот",""))))</f>
      </c>
      <c r="AK171" s="95"/>
      <c r="AL171" s="95">
        <f>IF(AND(AG175="",AG173="",AG174="",AG172=""),1,0)</f>
        <v>1</v>
      </c>
      <c r="AM171" s="94"/>
    </row>
    <row r="172" spans="21:39" s="92" customFormat="1" ht="12" customHeight="1" hidden="1">
      <c r="U172" s="94"/>
      <c r="V172" s="94"/>
      <c r="W172" s="94"/>
      <c r="X172" s="94"/>
      <c r="Y172" s="94"/>
      <c r="Z172" s="95"/>
      <c r="AA172" s="95"/>
      <c r="AB172" s="95"/>
      <c r="AC172" s="95"/>
      <c r="AD172" s="95"/>
      <c r="AE172" s="95">
        <f>IF(SUM(AH156:AH158)=0,PROPER(AG172),AG172)</f>
      </c>
      <c r="AF172" s="95">
        <v>13</v>
      </c>
      <c r="AG172" s="101">
        <f>IF(AND(AH156&lt;20,AH156&gt;10),"",AH172&amp;AJ172&amp;AI172)</f>
      </c>
      <c r="AH172" s="95">
        <f>IF(AL172=1,IF(AH155=1,"один",IF(AH155=2,"два",IF(AH155=3,"три",""))),IF(AH155=1," один",IF(AH155=2," два",IF(AH155=3," три",""))))</f>
      </c>
      <c r="AI172" s="95">
        <f>IF(AL172=1,IF(AH155=4,"четыре",IF(AH155=5,"пять",IF(AH155=6,"шесть",""))),IF(AH155=4," четыре",IF(AH155=5," пять",IF(AH155=6," шесть",""))))</f>
      </c>
      <c r="AJ172" s="95">
        <f>IF(AL172=1,IF(AH155=7,"семь",IF(AH155=8,"восемь",IF(AH155=9,"девять",""))),IF(AH155=7," семь",IF(AH155=8," восемь",IF(AH155=9," девять",""))))</f>
      </c>
      <c r="AK172" s="95">
        <f>IF(AND(AG172="",AG173="",AG174="",AG175=""),"",IF(AND(AH156&lt;20,AH156&gt;10)," миллиардов",IF(AH155=1," миллиард",IF(OR(AH155=2,AH155=3,AH155=4)," миллиарда"," миллиардов"))))</f>
      </c>
      <c r="AL172" s="95">
        <f>IF(AND(AG175="",AG173="",AG174=""),1,0)</f>
        <v>1</v>
      </c>
      <c r="AM172" s="94"/>
    </row>
    <row r="173" spans="21:39" s="92" customFormat="1" ht="12" customHeight="1" hidden="1">
      <c r="U173" s="94"/>
      <c r="V173" s="94"/>
      <c r="W173" s="94"/>
      <c r="X173" s="94"/>
      <c r="Y173" s="94"/>
      <c r="Z173" s="95"/>
      <c r="AA173" s="95"/>
      <c r="AB173" s="95"/>
      <c r="AC173" s="95"/>
      <c r="AD173" s="95"/>
      <c r="AE173" s="95">
        <f>IF(AH158=0,PROPER(AG173),AG173)</f>
      </c>
      <c r="AF173" s="95">
        <v>14</v>
      </c>
      <c r="AG173" s="101">
        <f>AH173&amp;AJ173&amp;AI173</f>
      </c>
      <c r="AH173" s="95">
        <f>IF(AL173=1,IF(AH156=11,"одиннадцать",IF(AH156=12,"двенадцать",IF(AH156=13,"тринадцать",""))),IF(AH156=11," одиннадцать",IF(AH156=12," двенадцать",IF(AH156=13," тринадцать",""))))</f>
      </c>
      <c r="AI173" s="95">
        <f>IF(AL173=1,IF(AH156=14,"четырнадцать",IF(AH156=15,"пятнадцать",IF(AH156=16,"шестнадцать",""))),IF(AH156=14," четырнадцать",IF(AH156=15," пятнадцать",IF(AH156=16," шестнадцать",""))))</f>
      </c>
      <c r="AJ173" s="95">
        <f>IF(AL173=1,IF(AH156=17,"семнадцать",IF(AH156=18,"восемнадцать",IF(AH156=19,"девятнадцать",""))),IF(AH156=17," семнадцать",IF(AH156=18," восемнадцать",IF(AH156=19," девятнадцать",""))))</f>
      </c>
      <c r="AK173" s="95"/>
      <c r="AL173" s="95">
        <f>IF(AND(AG174="",AG175=""),1,0)</f>
        <v>1</v>
      </c>
      <c r="AM173" s="94"/>
    </row>
    <row r="174" spans="21:39" s="92" customFormat="1" ht="12" customHeight="1" hidden="1">
      <c r="U174" s="94"/>
      <c r="V174" s="94"/>
      <c r="W174" s="94"/>
      <c r="X174" s="94"/>
      <c r="Y174" s="94"/>
      <c r="Z174" s="95"/>
      <c r="AA174" s="95"/>
      <c r="AB174" s="95"/>
      <c r="AC174" s="95"/>
      <c r="AD174" s="95"/>
      <c r="AE174" s="95">
        <f>IF(SUM(AH158)=0,PROPER(AG174),AG174)</f>
      </c>
      <c r="AF174" s="95">
        <v>15</v>
      </c>
      <c r="AG174" s="101">
        <f>IF(AND(AH156&lt;20,AH156&gt;10),"",AH174&amp;AJ174&amp;AI174)</f>
      </c>
      <c r="AH174" s="95">
        <f>IF(AL174=1,IF(AH157=10,"десять",IF(AH157=20,"двадцать",IF(AH157=30,"тридцать",""))),IF(AH157=10," десять",IF(AH157=20," двадцать",IF(AH157=30," тридцать",""))))</f>
      </c>
      <c r="AI174" s="95">
        <f>IF(AL174=1,IF(AH157=40,"сорок",IF(AH157=50,"пятьдесят",IF(AH157=60,"шестьдесят",""))),IF(AH157=40," сорок",IF(AH157=50," пятьдесят",IF(AH157=60," шестьдесят",""))))</f>
      </c>
      <c r="AJ174" s="95">
        <f>IF(AL174=1,IF(AH157=70,"семьдесят",IF(AH157=80,"восемьдесят",IF(AH157=90,"девяносто",""))),IF(AH157=70," семьдесят",IF(AH157=80," восемьдесят",IF(AH157=90," девяносто",""))))</f>
      </c>
      <c r="AK174" s="95"/>
      <c r="AL174" s="95">
        <f>IF(AG175="",1,0)</f>
        <v>1</v>
      </c>
      <c r="AM174" s="94"/>
    </row>
    <row r="175" spans="21:39" s="92" customFormat="1" ht="12" customHeight="1" hidden="1">
      <c r="U175" s="94"/>
      <c r="V175" s="94"/>
      <c r="W175" s="94"/>
      <c r="X175" s="94"/>
      <c r="Y175" s="94"/>
      <c r="Z175" s="95"/>
      <c r="AA175" s="95"/>
      <c r="AB175" s="95"/>
      <c r="AC175" s="95"/>
      <c r="AD175" s="95"/>
      <c r="AE175" s="95">
        <f>PROPER(AG175)</f>
      </c>
      <c r="AF175" s="95">
        <v>16</v>
      </c>
      <c r="AG175" s="101">
        <f>AH175&amp;AI175</f>
      </c>
      <c r="AH175" s="95">
        <f>IF(AH158=100,"сто",IF(AH158=200,"двести",IF(AH158=300,"триста",IF(AH158=400,"четыреста",IF(AH158=500,"пятьсот",IF(AH158=600,"шестьсот",""))))))</f>
      </c>
      <c r="AI175" s="95">
        <f>IF(AH158=700,"семьсот",IF(AH158=800,"восемьсот",IF(AH158=900,"девятьсот","")))</f>
      </c>
      <c r="AJ175" s="95"/>
      <c r="AK175" s="95"/>
      <c r="AL175" s="95"/>
      <c r="AM175" s="94"/>
    </row>
    <row r="176" spans="21:39" s="92" customFormat="1" ht="12" customHeight="1" hidden="1"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</row>
    <row r="177" spans="21:39" s="92" customFormat="1" ht="12" customHeight="1" hidden="1"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</row>
    <row r="178" spans="21:39" s="92" customFormat="1" ht="12" customHeight="1" hidden="1">
      <c r="U178" s="94"/>
      <c r="V178" s="94"/>
      <c r="W178" s="94"/>
      <c r="X178" s="94"/>
      <c r="Y178" s="94"/>
      <c r="Z178" s="95"/>
      <c r="AA178" s="95"/>
      <c r="AB178" s="95"/>
      <c r="AC178" s="95"/>
      <c r="AD178" s="95"/>
      <c r="AE178" s="95"/>
      <c r="AF178" s="95"/>
      <c r="AG178" s="96">
        <f>INT(AH178)</f>
        <v>125</v>
      </c>
      <c r="AH178" s="96">
        <f>AH142</f>
        <v>125.23</v>
      </c>
      <c r="AI178" s="95"/>
      <c r="AJ178" s="95"/>
      <c r="AK178" s="97"/>
      <c r="AL178" s="97"/>
      <c r="AM178" s="94"/>
    </row>
    <row r="179" spans="21:39" s="92" customFormat="1" ht="12" customHeight="1" hidden="1">
      <c r="U179" s="94"/>
      <c r="V179" s="94"/>
      <c r="W179" s="94"/>
      <c r="X179" s="94"/>
      <c r="Y179" s="94"/>
      <c r="Z179" s="95"/>
      <c r="AA179" s="95"/>
      <c r="AB179" s="95"/>
      <c r="AC179" s="95"/>
      <c r="AD179" s="95"/>
      <c r="AE179" s="95"/>
      <c r="AF179" s="95">
        <v>1</v>
      </c>
      <c r="AG179" s="98">
        <f>AG178-INT(AG178/10)*10</f>
        <v>5</v>
      </c>
      <c r="AH179" s="96">
        <f>ROUND((AH178-AG178)*100,0)</f>
        <v>23</v>
      </c>
      <c r="AI179" s="95"/>
      <c r="AJ179" s="95"/>
      <c r="AK179" s="97"/>
      <c r="AL179" s="97"/>
      <c r="AM179" s="94"/>
    </row>
    <row r="180" spans="21:39" s="92" customFormat="1" ht="12" customHeight="1" hidden="1">
      <c r="U180" s="94"/>
      <c r="V180" s="94"/>
      <c r="W180" s="94"/>
      <c r="X180" s="94"/>
      <c r="Y180" s="94"/>
      <c r="Z180" s="95"/>
      <c r="AA180" s="95"/>
      <c r="AB180" s="95"/>
      <c r="AC180" s="95"/>
      <c r="AD180" s="95"/>
      <c r="AE180" s="95"/>
      <c r="AF180" s="95">
        <v>2</v>
      </c>
      <c r="AG180" s="99">
        <f>IF(AND(AG179+AG181&gt;=11,AG179+AG181&lt;=19),AG179+AG181,0)</f>
        <v>0</v>
      </c>
      <c r="AH180" s="99">
        <f>INT(AH179)</f>
        <v>23</v>
      </c>
      <c r="AI180" s="95"/>
      <c r="AJ180" s="95"/>
      <c r="AK180" s="97"/>
      <c r="AL180" s="97"/>
      <c r="AM180" s="94"/>
    </row>
    <row r="181" spans="21:39" s="92" customFormat="1" ht="12" customHeight="1" hidden="1">
      <c r="U181" s="94"/>
      <c r="V181" s="94"/>
      <c r="W181" s="94"/>
      <c r="X181" s="94"/>
      <c r="Y181" s="94"/>
      <c r="Z181" s="95"/>
      <c r="AA181" s="95"/>
      <c r="AB181" s="95"/>
      <c r="AC181" s="95"/>
      <c r="AD181" s="95"/>
      <c r="AE181" s="95"/>
      <c r="AF181" s="95">
        <v>3</v>
      </c>
      <c r="AG181" s="99">
        <f>AG178-INT(AG178/100)*100-AG179</f>
        <v>20</v>
      </c>
      <c r="AH181" s="99">
        <f>IF(AH180=0,"",AH180-INT(AH180/10)*10)</f>
        <v>3</v>
      </c>
      <c r="AI181" s="95"/>
      <c r="AJ181" s="95"/>
      <c r="AK181" s="97"/>
      <c r="AL181" s="97"/>
      <c r="AM181" s="94"/>
    </row>
    <row r="182" spans="21:39" s="92" customFormat="1" ht="12" customHeight="1" hidden="1">
      <c r="U182" s="94"/>
      <c r="V182" s="94"/>
      <c r="W182" s="94"/>
      <c r="X182" s="94"/>
      <c r="Y182" s="94"/>
      <c r="Z182" s="95"/>
      <c r="AA182" s="95"/>
      <c r="AB182" s="95"/>
      <c r="AC182" s="95"/>
      <c r="AD182" s="95"/>
      <c r="AE182" s="95"/>
      <c r="AF182" s="95">
        <v>4</v>
      </c>
      <c r="AG182" s="99">
        <f>AG178-INT(AG178/1000)*1000-AG181-AG179</f>
        <v>100</v>
      </c>
      <c r="AH182" s="100">
        <f>IF(AH180=0,"",AH180)</f>
        <v>23</v>
      </c>
      <c r="AI182" s="95">
        <v>0</v>
      </c>
      <c r="AJ182" s="95" t="s">
        <v>83</v>
      </c>
      <c r="AK182" s="97"/>
      <c r="AL182" s="97"/>
      <c r="AM182" s="94"/>
    </row>
    <row r="183" spans="21:39" s="92" customFormat="1" ht="12" customHeight="1" hidden="1">
      <c r="U183" s="94"/>
      <c r="V183" s="94"/>
      <c r="W183" s="94"/>
      <c r="X183" s="94"/>
      <c r="Y183" s="94"/>
      <c r="Z183" s="95"/>
      <c r="AA183" s="95"/>
      <c r="AB183" s="95"/>
      <c r="AC183" s="95"/>
      <c r="AD183" s="95"/>
      <c r="AE183" s="95"/>
      <c r="AF183" s="95">
        <v>5</v>
      </c>
      <c r="AG183" s="99">
        <f>AG178-INT(AG178/10000)*10000-AG181-AG179-AG182</f>
        <v>0</v>
      </c>
      <c r="AH183" s="95">
        <f>AG183/1000</f>
        <v>0</v>
      </c>
      <c r="AI183" s="95"/>
      <c r="AJ183" s="95"/>
      <c r="AK183" s="97"/>
      <c r="AL183" s="97"/>
      <c r="AM183" s="94"/>
    </row>
    <row r="184" spans="21:39" s="92" customFormat="1" ht="12" customHeight="1" hidden="1">
      <c r="U184" s="94"/>
      <c r="V184" s="94"/>
      <c r="W184" s="94"/>
      <c r="X184" s="94"/>
      <c r="Y184" s="94"/>
      <c r="Z184" s="95"/>
      <c r="AA184" s="95"/>
      <c r="AB184" s="95"/>
      <c r="AC184" s="95"/>
      <c r="AD184" s="95"/>
      <c r="AE184" s="95"/>
      <c r="AF184" s="95">
        <v>6</v>
      </c>
      <c r="AG184" s="95"/>
      <c r="AH184" s="99">
        <f>IF(AND(AH183+AH185&gt;=11,AH183+AH185&lt;=19),AH183+AH185,0)</f>
        <v>0</v>
      </c>
      <c r="AI184" s="95"/>
      <c r="AJ184" s="95"/>
      <c r="AK184" s="97"/>
      <c r="AL184" s="97"/>
      <c r="AM184" s="94"/>
    </row>
    <row r="185" spans="21:39" s="92" customFormat="1" ht="12" customHeight="1" hidden="1">
      <c r="U185" s="94"/>
      <c r="V185" s="94"/>
      <c r="W185" s="94"/>
      <c r="X185" s="94"/>
      <c r="Y185" s="94"/>
      <c r="Z185" s="95"/>
      <c r="AA185" s="95"/>
      <c r="AB185" s="95"/>
      <c r="AC185" s="95"/>
      <c r="AD185" s="95"/>
      <c r="AE185" s="95"/>
      <c r="AF185" s="95">
        <v>7</v>
      </c>
      <c r="AG185" s="99">
        <f>AG178-INT(AG178/100000)*100000-AG181-AG179-AG182-AG183</f>
        <v>0</v>
      </c>
      <c r="AH185" s="95">
        <f>AG185/1000</f>
        <v>0</v>
      </c>
      <c r="AI185" s="95"/>
      <c r="AJ185" s="95"/>
      <c r="AK185" s="97"/>
      <c r="AL185" s="97"/>
      <c r="AM185" s="94"/>
    </row>
    <row r="186" spans="21:39" s="92" customFormat="1" ht="12" customHeight="1" hidden="1">
      <c r="U186" s="94"/>
      <c r="V186" s="94"/>
      <c r="W186" s="94"/>
      <c r="X186" s="94"/>
      <c r="Y186" s="94"/>
      <c r="Z186" s="95"/>
      <c r="AA186" s="95"/>
      <c r="AB186" s="95"/>
      <c r="AC186" s="95"/>
      <c r="AD186" s="95"/>
      <c r="AE186" s="95"/>
      <c r="AF186" s="95">
        <v>8</v>
      </c>
      <c r="AG186" s="99">
        <f>AG178-INT(AG178/1000000)*1000000-AG181-AG179-AG182-AG183-AG185</f>
        <v>0</v>
      </c>
      <c r="AH186" s="95">
        <f>AG186/1000</f>
        <v>0</v>
      </c>
      <c r="AI186" s="95"/>
      <c r="AJ186" s="95"/>
      <c r="AK186" s="97"/>
      <c r="AL186" s="97"/>
      <c r="AM186" s="94"/>
    </row>
    <row r="187" spans="21:39" s="92" customFormat="1" ht="12" customHeight="1" hidden="1">
      <c r="U187" s="94"/>
      <c r="V187" s="94"/>
      <c r="W187" s="94"/>
      <c r="X187" s="94"/>
      <c r="Y187" s="94"/>
      <c r="Z187" s="95"/>
      <c r="AA187" s="95"/>
      <c r="AB187" s="95"/>
      <c r="AC187" s="95"/>
      <c r="AD187" s="95"/>
      <c r="AE187" s="95"/>
      <c r="AF187" s="95">
        <v>9</v>
      </c>
      <c r="AG187" s="99">
        <f>AG178-INT(AG178/10000000)*10000000-AG181-AG179-AG182-AG183-AG185-AG186</f>
        <v>0</v>
      </c>
      <c r="AH187" s="95">
        <f>AG187/1000000</f>
        <v>0</v>
      </c>
      <c r="AI187" s="95"/>
      <c r="AJ187" s="95"/>
      <c r="AK187" s="97"/>
      <c r="AL187" s="97"/>
      <c r="AM187" s="94"/>
    </row>
    <row r="188" spans="21:39" s="92" customFormat="1" ht="12" customHeight="1" hidden="1">
      <c r="U188" s="94"/>
      <c r="V188" s="94"/>
      <c r="W188" s="94"/>
      <c r="X188" s="94"/>
      <c r="Y188" s="94"/>
      <c r="Z188" s="95"/>
      <c r="AA188" s="95"/>
      <c r="AB188" s="95"/>
      <c r="AC188" s="95"/>
      <c r="AD188" s="95"/>
      <c r="AE188" s="95"/>
      <c r="AF188" s="95">
        <v>10</v>
      </c>
      <c r="AG188" s="95"/>
      <c r="AH188" s="99">
        <f>IF(AND(AH187+AH189&gt;=11,AH187+AH189&lt;=19),AH187+AH189,0)</f>
        <v>0</v>
      </c>
      <c r="AI188" s="95"/>
      <c r="AJ188" s="95"/>
      <c r="AK188" s="97"/>
      <c r="AL188" s="97"/>
      <c r="AM188" s="94"/>
    </row>
    <row r="189" spans="21:39" s="92" customFormat="1" ht="12" customHeight="1" hidden="1">
      <c r="U189" s="94"/>
      <c r="V189" s="94"/>
      <c r="W189" s="94"/>
      <c r="X189" s="94"/>
      <c r="Y189" s="94"/>
      <c r="Z189" s="95"/>
      <c r="AA189" s="95"/>
      <c r="AB189" s="95"/>
      <c r="AC189" s="95"/>
      <c r="AD189" s="95"/>
      <c r="AE189" s="95"/>
      <c r="AF189" s="95">
        <v>11</v>
      </c>
      <c r="AG189" s="99">
        <f>AG178-INT(AG178/100000000)*100000000-AG181-AG179-AG182-AG183-AG185-AG186-AG187</f>
        <v>0</v>
      </c>
      <c r="AH189" s="95">
        <f>AG189/1000000</f>
        <v>0</v>
      </c>
      <c r="AI189" s="95"/>
      <c r="AJ189" s="95"/>
      <c r="AK189" s="97"/>
      <c r="AL189" s="97"/>
      <c r="AM189" s="94"/>
    </row>
    <row r="190" spans="21:39" s="92" customFormat="1" ht="12" customHeight="1" hidden="1">
      <c r="U190" s="94"/>
      <c r="V190" s="94"/>
      <c r="W190" s="94"/>
      <c r="X190" s="94"/>
      <c r="Y190" s="94"/>
      <c r="Z190" s="95"/>
      <c r="AA190" s="95"/>
      <c r="AB190" s="95"/>
      <c r="AC190" s="95"/>
      <c r="AD190" s="95"/>
      <c r="AE190" s="95"/>
      <c r="AF190" s="95">
        <v>12</v>
      </c>
      <c r="AG190" s="99">
        <f>AG178-INT(AG178/1000000000)*1000000000-AG181-AG179-AG182-AG183-AG185-AG186-AG187-AG189</f>
        <v>0</v>
      </c>
      <c r="AH190" s="95">
        <f>AG190/1000000</f>
        <v>0</v>
      </c>
      <c r="AI190" s="95"/>
      <c r="AJ190" s="95"/>
      <c r="AK190" s="97"/>
      <c r="AL190" s="97"/>
      <c r="AM190" s="94"/>
    </row>
    <row r="191" spans="21:39" s="92" customFormat="1" ht="12" customHeight="1" hidden="1">
      <c r="U191" s="94"/>
      <c r="V191" s="94"/>
      <c r="W191" s="94"/>
      <c r="X191" s="94"/>
      <c r="Y191" s="94"/>
      <c r="Z191" s="95"/>
      <c r="AA191" s="95"/>
      <c r="AB191" s="95"/>
      <c r="AC191" s="95"/>
      <c r="AD191" s="95"/>
      <c r="AE191" s="95"/>
      <c r="AF191" s="95">
        <v>13</v>
      </c>
      <c r="AG191" s="99">
        <f>AG178-INT(AG178/10000000000)*10000000000-AG181-AG179-AG182-AG183-AG185-AG186-AG187-AG189-AG190</f>
        <v>0</v>
      </c>
      <c r="AH191" s="95">
        <f>AG191/1000000000</f>
        <v>0</v>
      </c>
      <c r="AI191" s="95"/>
      <c r="AJ191" s="95"/>
      <c r="AK191" s="97"/>
      <c r="AL191" s="97"/>
      <c r="AM191" s="94"/>
    </row>
    <row r="192" spans="21:39" s="92" customFormat="1" ht="12" customHeight="1" hidden="1">
      <c r="U192" s="94"/>
      <c r="V192" s="94"/>
      <c r="W192" s="94"/>
      <c r="X192" s="94"/>
      <c r="Y192" s="94"/>
      <c r="Z192" s="95"/>
      <c r="AA192" s="95"/>
      <c r="AB192" s="95"/>
      <c r="AC192" s="95"/>
      <c r="AD192" s="95"/>
      <c r="AE192" s="95"/>
      <c r="AF192" s="95">
        <v>14</v>
      </c>
      <c r="AG192" s="99"/>
      <c r="AH192" s="99">
        <f>IF(AND(AH191+AH193&gt;=11,AH191+AH193&lt;=19),AH191+AH193,0)</f>
        <v>0</v>
      </c>
      <c r="AI192" s="95"/>
      <c r="AJ192" s="95"/>
      <c r="AK192" s="97"/>
      <c r="AL192" s="97"/>
      <c r="AM192" s="94"/>
    </row>
    <row r="193" spans="21:39" s="92" customFormat="1" ht="12" customHeight="1" hidden="1">
      <c r="U193" s="94"/>
      <c r="V193" s="94"/>
      <c r="W193" s="94"/>
      <c r="X193" s="94"/>
      <c r="Y193" s="94"/>
      <c r="Z193" s="95"/>
      <c r="AA193" s="95"/>
      <c r="AB193" s="95"/>
      <c r="AC193" s="95"/>
      <c r="AD193" s="95"/>
      <c r="AE193" s="95"/>
      <c r="AF193" s="95">
        <v>15</v>
      </c>
      <c r="AG193" s="99">
        <f>AG178-INT(AG178/100000000000)*100000000000-AG181-AG179-AG182-AG183-AG185-AG186-AG187-AG189-AG190-AG191</f>
        <v>0</v>
      </c>
      <c r="AH193" s="95">
        <f>AG193/1000000000</f>
        <v>0</v>
      </c>
      <c r="AI193" s="95"/>
      <c r="AJ193" s="95"/>
      <c r="AK193" s="97"/>
      <c r="AL193" s="97"/>
      <c r="AM193" s="94"/>
    </row>
    <row r="194" spans="21:39" s="92" customFormat="1" ht="12" customHeight="1" hidden="1">
      <c r="U194" s="94"/>
      <c r="V194" s="94"/>
      <c r="W194" s="94"/>
      <c r="X194" s="94"/>
      <c r="Y194" s="94"/>
      <c r="Z194" s="95"/>
      <c r="AA194" s="95"/>
      <c r="AB194" s="95"/>
      <c r="AC194" s="95"/>
      <c r="AD194" s="95"/>
      <c r="AE194" s="95"/>
      <c r="AF194" s="95">
        <v>16</v>
      </c>
      <c r="AG194" s="99">
        <f>AG178-INT(AG178/1000000000000)*1000000000000-AG181-AG179-AG182-AG183-AG185-AG186-AG187-AG189-AG190-AG191-AG193</f>
        <v>0</v>
      </c>
      <c r="AH194" s="95">
        <f>AG194/1000000000</f>
        <v>0</v>
      </c>
      <c r="AI194" s="95"/>
      <c r="AJ194" s="95"/>
      <c r="AK194" s="97"/>
      <c r="AL194" s="97"/>
      <c r="AM194" s="94"/>
    </row>
    <row r="195" spans="21:39" s="92" customFormat="1" ht="12" customHeight="1" hidden="1">
      <c r="U195" s="94"/>
      <c r="V195" s="94" t="str">
        <f>IF(AG178+AH178=0,"",IF(AND(AG178=0,AH182&lt;10),"Ноль"&amp;AB200&amp;AI182&amp;AH182&amp;Z200,IF(AG178=0,"Ноль"&amp;AB200&amp;AH182&amp;Z200,IF(AH182&lt;10,AE211&amp;AE210&amp;AE209&amp;AE208&amp;AK208&amp;AE207&amp;AE206&amp;AE205&amp;AE204&amp;AK204&amp;AE203&amp;AE202&amp;AE201&amp;AE200&amp;AK200&amp;AE199&amp;AE198&amp;AE197&amp;AE196&amp;AB200&amp;AI182&amp;AH182&amp;U200,AE211&amp;AE210&amp;AE209&amp;AE208&amp;AK208&amp;AE207&amp;AE206&amp;AE205&amp;AE204&amp;AK204&amp;AE203&amp;AE202&amp;AE201&amp;AE200&amp;AK200&amp;AE199&amp;AE198&amp;AE197&amp;AE196&amp;AB200&amp;AH182&amp;U200))))</f>
        <v>Сто двадцать пять руб. 23 коп.</v>
      </c>
      <c r="W195" s="94"/>
      <c r="X195" s="94"/>
      <c r="Y195" s="94"/>
      <c r="Z195" s="95"/>
      <c r="AA195" s="95"/>
      <c r="AB195" s="95"/>
      <c r="AC195" s="95"/>
      <c r="AD195" s="95"/>
      <c r="AE195" s="95"/>
      <c r="AF195" s="95"/>
      <c r="AG195" s="101" t="str">
        <f>IF(AG178+AH178=0,"",IF(AND(AG178=0,AH182&lt;10),"Ноль"&amp;AB200&amp;AI182&amp;AH182&amp;Z200,IF(AG178=0,"Ноль"&amp;AB200&amp;AH182&amp;Z200,IF(AH182&lt;10,AE211&amp;AE210&amp;AE209&amp;AE208&amp;AK208&amp;AE207&amp;AE206&amp;AE205&amp;AE204&amp;AK204&amp;AE203&amp;AE202&amp;AE201&amp;AE200&amp;AK200&amp;AE199&amp;AE198&amp;AE197&amp;AE196&amp;AB200&amp;AI182&amp;AH182&amp;Z200,AE211&amp;AE210&amp;AE209&amp;AE208&amp;AK208&amp;AE207&amp;AE206&amp;AE205&amp;AE204&amp;AK204&amp;AE203&amp;AE202&amp;AE201&amp;AE200&amp;AK200&amp;AE199&amp;AE198&amp;AE197&amp;AE196&amp;AB200&amp;AH182&amp;Z200))))</f>
        <v>Сто двадцать пять руб. 23 коп.</v>
      </c>
      <c r="AH195" s="95"/>
      <c r="AI195" s="95"/>
      <c r="AJ195" s="95"/>
      <c r="AK195" s="97"/>
      <c r="AL195" s="97"/>
      <c r="AM195" s="94"/>
    </row>
    <row r="196" spans="21:39" s="92" customFormat="1" ht="12" customHeight="1" hidden="1">
      <c r="U196" s="102">
        <f>IF(AND(AH180&gt;=11,AH180&lt;=19),"",IF(AH181=1,V196,""))</f>
      </c>
      <c r="V196" s="95" t="s">
        <v>84</v>
      </c>
      <c r="W196" s="94"/>
      <c r="X196" s="94"/>
      <c r="Y196" s="94"/>
      <c r="Z196" s="102"/>
      <c r="AA196" s="95"/>
      <c r="AB196" s="102"/>
      <c r="AC196" s="103"/>
      <c r="AD196" s="95"/>
      <c r="AE196" s="95" t="str">
        <f>IF(SUM(AG180:AG194)=0,PROPER(AG196),AG196)</f>
        <v> пять</v>
      </c>
      <c r="AF196" s="95">
        <v>1</v>
      </c>
      <c r="AG196" s="101" t="str">
        <f>IF(AND(AG180&lt;20,AG180&gt;10),"",AH196&amp;AJ196&amp;AI196)</f>
        <v> пять</v>
      </c>
      <c r="AH196" s="95">
        <f>IF(AL196=3,IF(AG179=1,"один",IF(AG179=2,"два",IF(AG179=3,"три",""))),IF(AG179=1," один",IF(AG179=2," два",IF(AG179=3," три",""))))</f>
      </c>
      <c r="AI196" s="95" t="str">
        <f>IF(AL196=3,IF(AG179=4,"четыре",IF(AG179=5,"пять",IF(AG179=6,"шесть",""))),IF(AG179=4," четыре",IF(AG179=5," пять",IF(AG179=6," шесть",""))))</f>
        <v> пять</v>
      </c>
      <c r="AJ196" s="95">
        <f>IF(AL196=3,IF(AG179=7,"семь",IF(AG179=8,"восемь",IF(AG179=9,"девять",""))),IF(AG179=7," семь",IF(AG179=8," восемь",IF(AG179=9," девять",""))))</f>
      </c>
      <c r="AK196" s="95"/>
      <c r="AL196" s="95">
        <f>IF(AND(AG211="",AG209="",AG210="",AG208="",AG207="",AG206="",AG205=""),1,0)+IF(AND(AG204="",AG203="",AG202="",AG201="",AG200="",AG199="",AG198=""),1,0)+IF(AG197="",1,0)</f>
        <v>2</v>
      </c>
      <c r="AM196" s="94"/>
    </row>
    <row r="197" spans="21:39" s="92" customFormat="1" ht="12" customHeight="1" hidden="1">
      <c r="U197" s="104" t="str">
        <f>IF(AND(AH180&gt;=11,AH180&lt;=19),"",IF(OR(AH181=2,AH181=3,AH181=4),V197,""))</f>
        <v> копейки</v>
      </c>
      <c r="V197" s="95" t="s">
        <v>86</v>
      </c>
      <c r="W197" s="94"/>
      <c r="X197" s="94"/>
      <c r="Y197" s="94"/>
      <c r="Z197" s="104"/>
      <c r="AA197" s="95"/>
      <c r="AB197" s="104"/>
      <c r="AC197" s="105"/>
      <c r="AD197" s="95"/>
      <c r="AE197" s="95">
        <f>IF(SUM(AG182:AG194)=0,PROPER(AG197),AG197)</f>
      </c>
      <c r="AF197" s="95">
        <v>2</v>
      </c>
      <c r="AG197" s="101">
        <f>AH197&amp;AJ197&amp;AI197</f>
      </c>
      <c r="AH197" s="95">
        <f>IF(AL197=2,IF(AG180=11,"одиннадцать",IF(AG180=12,"двенадцать",IF(AG180=13,"тринадцать",""))),IF(AG180=11," одиннадцать",IF(AG180=12," двенадцать",IF(AG180=13," тринадцать",""))))</f>
      </c>
      <c r="AI197" s="95">
        <f>IF(AL197=2,IF(AG180=14,"четырнадцать",IF(AG180=15,"пятнадцать",IF(AG180=16,"шестнадцать",""))),IF(AG180=14," четырнадцать",IF(AG180=15," пятнадцать",IF(AG180=16," шестнадцать",""))))</f>
      </c>
      <c r="AJ197" s="95">
        <f>IF(AL197=2,IF(AG180=17,"семнадцать",IF(AG180=18,"восемнадцать",IF(AG180=19,"девятнадцать",""))),IF(AG180=17," семнадцать",IF(AG180=18," восемнадцать",IF(AG180=19," девятнадцать",""))))</f>
      </c>
      <c r="AK197" s="95"/>
      <c r="AL197" s="95">
        <f>IF(AND(AG211="",AG209="",AG210="",AG208="",AG207="",AG206="",AG205=""),1,0)+IF(AND(AG204="",AG203="",AG202="",AG201="",AG200="",AG199="",AG198=""),1,0)</f>
        <v>1</v>
      </c>
      <c r="AM197" s="94"/>
    </row>
    <row r="198" spans="21:39" s="92" customFormat="1" ht="12" customHeight="1" hidden="1">
      <c r="U198" s="104">
        <f>IF(AND(AH180&gt;=11,AH180&lt;=19),"",IF(OR(AH181=0,AH181=5,AH181=6,AH181=7,AH181=8,AH181=9),V198,""))</f>
      </c>
      <c r="V198" s="95" t="s">
        <v>88</v>
      </c>
      <c r="W198" s="94"/>
      <c r="X198" s="94"/>
      <c r="Y198" s="94"/>
      <c r="Z198" s="104"/>
      <c r="AA198" s="95"/>
      <c r="AB198" s="104"/>
      <c r="AC198" s="105"/>
      <c r="AD198" s="95"/>
      <c r="AE198" s="95" t="str">
        <f>IF(SUM(AG182:AG194)=0,PROPER(AG198),AG198)</f>
        <v> двадцать</v>
      </c>
      <c r="AF198" s="95">
        <v>3</v>
      </c>
      <c r="AG198" s="101" t="str">
        <f>IF(AND(AG180&lt;20,AG180&gt;10),"",AH198&amp;AJ198&amp;AI198)</f>
        <v> двадцать</v>
      </c>
      <c r="AH198" s="95" t="str">
        <f>IF(AL198=2,IF(AG181=10,"десять",IF(AG181=20,"двадцать",IF(AG181=30,"тридцать",""))),IF(AG181=10," десять",IF(AG181=20," двадцать",IF(AG181=30," тридцать",""))))</f>
        <v> двадцать</v>
      </c>
      <c r="AI198" s="95">
        <f>IF(AL198=2,IF(AG181=40,"сорок",IF(AG181=50,"пятьдесят",IF(AG181=60,"шестьдесят",""))),IF(AG181=40," сорок",IF(AG181=50," пятьдесят",IF(AG181=60," шестьдесят",""))))</f>
      </c>
      <c r="AJ198" s="95">
        <f>IF(AL198=2,IF(AG181=70,"семьдесят",IF(AG181=80,"восемьдесят",IF(AG181=90,"девяносто",""))),IF(AG181=70," семьдесят",IF(AG181=80," восемьдесят",IF(AG181=90," девяносто",""))))</f>
      </c>
      <c r="AK198" s="95"/>
      <c r="AL198" s="95">
        <f>IF(AND(AG211="",AG209="",AG210="",AG208="",AG207="",AG206="",AG205=""),1,0)+IF(AND(AG204="",AG203="",AG202="",AG201="",AG200="",AG199=""),1,0)</f>
        <v>1</v>
      </c>
      <c r="AM198" s="94"/>
    </row>
    <row r="199" spans="21:39" s="92" customFormat="1" ht="12" customHeight="1" hidden="1">
      <c r="U199" s="95" t="str">
        <f>" "&amp;"коп."</f>
        <v> коп.</v>
      </c>
      <c r="V199" s="95"/>
      <c r="W199" s="94"/>
      <c r="X199" s="94"/>
      <c r="Y199" s="94"/>
      <c r="Z199" s="95"/>
      <c r="AA199" s="95"/>
      <c r="AB199" s="95">
        <f>IF(AND(Z200="",AG180&gt;=11,AG180&lt;=19),AC198,IF(AND(AG180&gt;=11,AG180&lt;=19),AC198&amp;" ",""))</f>
      </c>
      <c r="AC199" s="105"/>
      <c r="AD199" s="95"/>
      <c r="AE199" s="95" t="str">
        <f>IF(SUM(AH183:AH194)=0,PROPER(AG199),AG199)</f>
        <v>Сто</v>
      </c>
      <c r="AF199" s="95">
        <v>4</v>
      </c>
      <c r="AG199" s="101" t="str">
        <f>AH199&amp;AJ199&amp;AI199</f>
        <v>сто</v>
      </c>
      <c r="AH199" s="95" t="str">
        <f>IF(AL199=2,IF(AG182=100,"сто",IF(AG182=200,"двести",IF(AG182=300,"триста",""))),IF(AG182=100," сто",IF(AG182=200," двести",IF(AG182=300," триста",""))))</f>
        <v>сто</v>
      </c>
      <c r="AI199" s="95">
        <f>IF(AL199=2,IF(AG182=400,"четыреста",IF(AG182=500,"пятьсот",IF(AG182=600,"шестьсот",""))),IF(AG182=400," четыреста",IF(AG182=500," пятьсот",IF(AG182=600," шестьсот",""))))</f>
      </c>
      <c r="AJ199" s="95">
        <f>IF(AL199=2,IF(AG182=700,"семьсот",IF(AG182=800,"восемьсот",IF(AG182=900,"девятьсот",""))),IF(AG182=700," семьсот",IF(AG182=800," восемьсот",IF(AG182=900," девятьсот",""))))</f>
      </c>
      <c r="AK199" s="95"/>
      <c r="AL199" s="95">
        <f>IF(AND(AG211="",AG209="",AG210="",AG208="",AG207="",AG206="",AG205=""),1,0)+IF(AND(AG204="",AG203="",AG202="",AG201="",AG200=""),1,0)</f>
        <v>2</v>
      </c>
      <c r="AM199" s="94"/>
    </row>
    <row r="200" spans="21:39" s="92" customFormat="1" ht="12" customHeight="1" hidden="1">
      <c r="U200" s="103" t="str">
        <f>IF(AH182="","00 коп."," коп.")</f>
        <v> коп.</v>
      </c>
      <c r="V200" s="95"/>
      <c r="W200" s="94"/>
      <c r="X200" s="94"/>
      <c r="Y200" s="94"/>
      <c r="Z200" s="103" t="str">
        <f>IF(AH182="",""," "&amp;"коп.")</f>
        <v> коп.</v>
      </c>
      <c r="AA200" s="95"/>
      <c r="AB200" s="103" t="str">
        <f>" "&amp;"руб. "</f>
        <v> руб. </v>
      </c>
      <c r="AC200" s="103"/>
      <c r="AD200" s="95"/>
      <c r="AE200" s="95">
        <f>IF(SUM(AH184:AH194)=0,PROPER(AG200),AG200)</f>
      </c>
      <c r="AF200" s="95">
        <v>5</v>
      </c>
      <c r="AG200" s="101">
        <f>IF(AND(AH184&lt;20,AH184&gt;10),"",AH200&amp;AJ200&amp;AI200)</f>
      </c>
      <c r="AH200" s="95">
        <f>IF(AL200=2,IF(AH183=1,"одна",IF(AH183=2,"две",IF(AH183=3,"три",""))),IF(AH183=1," одна",IF(AH183=2," две",IF(AH183=3," три",""))))</f>
      </c>
      <c r="AI200" s="95">
        <f>IF(AL200=2,IF(AH183=4,"четыре",IF(AH183=5,"пять",IF(AH183=6,"шесть",""))),IF(AH183=4," четыре",IF(AH183=5," пять",IF(AH183=6," шесть",""))))</f>
      </c>
      <c r="AJ200" s="95">
        <f>IF(AL200=2,IF(AH183=7,"семь",IF(AH183=8,"восемь",IF(AH183=9,"девять",""))),IF(AH183=7," семь",IF(AH183=8," восемь",IF(AH183=9," девять",""))))</f>
      </c>
      <c r="AK200" s="95">
        <f>IF(AND(AG200="",AG201="",AG202="",AG203=""),"",IF(AND(AH184&lt;20,AH184&gt;10)," тысяч",IF(AH183=1," тысяча",IF(OR(AH183=2,AH183=3,AH183=4)," тысячи"," тысяч"))))</f>
      </c>
      <c r="AL200" s="95">
        <f>IF(AND(AG211="",AG209="",AG210="",AG208="",AG207="",AG206="",AG205=""),1,0)+IF(AND(AG204="",AG203="",AG202="",AG201=""),1,0)</f>
        <v>2</v>
      </c>
      <c r="AM200" s="94"/>
    </row>
    <row r="201" spans="21:39" s="92" customFormat="1" ht="12" customHeight="1" hidden="1">
      <c r="U201" s="94"/>
      <c r="V201" s="94"/>
      <c r="W201" s="94"/>
      <c r="X201" s="94"/>
      <c r="Y201" s="94"/>
      <c r="Z201" s="95"/>
      <c r="AA201" s="95"/>
      <c r="AB201" s="102"/>
      <c r="AC201" s="103"/>
      <c r="AD201" s="95"/>
      <c r="AE201" s="95">
        <f>IF(SUM(AH186:AH194)=0,PROPER(AG201),AG201)</f>
      </c>
      <c r="AF201" s="95">
        <v>6</v>
      </c>
      <c r="AG201" s="101">
        <f>AH201&amp;AJ201&amp;AI201</f>
      </c>
      <c r="AH201" s="95">
        <f>IF(AL201=2,IF(AH184=11,"одиннадцать",IF(AH184=12,"двенадцать",IF(AH184=13,"тринадцать",""))),IF(AH184=11," одиннадцать",IF(AH184=12," двенадцать",IF(AH184=13," тринадцать",""))))</f>
      </c>
      <c r="AI201" s="95">
        <f>IF(AL201=2,IF(AH184=14,"четырнадцать",IF(AH184=15,"пятнадцать",IF(AH184=16,"шестнадцать",""))),IF(AH184=14," четырнадцать",IF(AH184=15," пятнадцать",IF(AH184=16," шестнадцать",""))))</f>
      </c>
      <c r="AJ201" s="95">
        <f>IF(AL201=2,IF(AH184=17,"семнадцать",IF(AH184=18,"восемнадцать",IF(AH184=19,"девятнадцать",""))),IF(AH184=17," семнадцать",IF(AH184=18," восемнадцать",IF(AH184=19," девятнадцать",""))))</f>
      </c>
      <c r="AK201" s="95"/>
      <c r="AL201" s="95">
        <f>IF(AND(AG211="",AG209="",AG210="",AG208="",AG207="",AG206="",AG205=""),1,0)+IF(AND(AG204="",AG203="",AG202=""),1,0)</f>
        <v>2</v>
      </c>
      <c r="AM201" s="94"/>
    </row>
    <row r="202" spans="21:39" s="92" customFormat="1" ht="12" customHeight="1" hidden="1">
      <c r="U202" s="94"/>
      <c r="V202" s="94"/>
      <c r="W202" s="94"/>
      <c r="X202" s="94"/>
      <c r="Y202" s="94"/>
      <c r="Z202" s="95"/>
      <c r="AA202" s="95"/>
      <c r="AB202" s="95"/>
      <c r="AC202" s="95"/>
      <c r="AD202" s="95"/>
      <c r="AE202" s="95">
        <f>IF(SUM(AH186:AH194)=0,PROPER(AG202),AG202)</f>
      </c>
      <c r="AF202" s="95">
        <v>7</v>
      </c>
      <c r="AG202" s="101">
        <f>IF(AND(AH184&lt;20,AH184&gt;10),"",AH202&amp;AJ202&amp;AI202)</f>
      </c>
      <c r="AH202" s="95">
        <f>IF(AL202=2,IF(AH185=10,"десять",IF(AH185=20,"двадцать",IF(AH185=30,"тридцать",""))),IF(AH185=10," десять",IF(AH185=20," двадцать",IF(AH185=30," тридцать",""))))</f>
      </c>
      <c r="AI202" s="95">
        <f>IF(AL202=2,IF(AH185=40,"сорок",IF(AH185=50,"пятьдесят",IF(AH185=60,"шестьдесят",""))),IF(AH185=40," сорок",IF(AH185=50," пятьдесят",IF(AH185=60," шестьдесят",""))))</f>
      </c>
      <c r="AJ202" s="95">
        <f>IF(AL202=2,IF(AH185=70,"семьдесят",IF(AH185=80,"восемьдесят",IF(AH185=90,"девяносто",""))),IF(AH185=70," семьдесят",IF(AH185=80," восемьдесят",IF(AH185=90," девяносто",""))))</f>
      </c>
      <c r="AK202" s="95"/>
      <c r="AL202" s="95">
        <f>IF(AND(AG211="",AG209="",AG210="",AG208="",AG207="",AG206="",AG205=""),1,0)+IF(AND(AG204="",AG203=""),1,0)</f>
        <v>2</v>
      </c>
      <c r="AM202" s="94"/>
    </row>
    <row r="203" spans="21:39" s="92" customFormat="1" ht="12" customHeight="1" hidden="1">
      <c r="U203" s="94"/>
      <c r="V203" s="94"/>
      <c r="W203" s="94"/>
      <c r="X203" s="94"/>
      <c r="Y203" s="94"/>
      <c r="Z203" s="95"/>
      <c r="AA203" s="95"/>
      <c r="AB203" s="95"/>
      <c r="AC203" s="95"/>
      <c r="AD203" s="95"/>
      <c r="AE203" s="95">
        <f>IF(SUM(AH187:AH194)=0,PROPER(AG203),AG203)</f>
      </c>
      <c r="AF203" s="95">
        <v>8</v>
      </c>
      <c r="AG203" s="101">
        <f>AH203&amp;AJ203&amp;AI203</f>
      </c>
      <c r="AH203" s="95">
        <f>IF(AL203=2,IF(AH186=100,"сто",IF(AH186=200,"двести",IF(AH186=300,"триста",""))),IF(AH186=100," сто",IF(AH186=200," двести",IF(AH186=300," триста",""))))</f>
      </c>
      <c r="AI203" s="95">
        <f>IF(AL203=2,IF(AH186=400,"четыреста",IF(AH186=500,"пятьсот",IF(AH186=600,"шестьсот",""))),IF(AH186=400," четыреста",IF(AH186=500," пятьсот",IF(AH186=600," шестьсот",""))))</f>
      </c>
      <c r="AJ203" s="95">
        <f>IF(AL203=2,IF(AH186=700,"семьсот",IF(AH186=800,"восемьсот",IF(AH186=900,"девятьсот",""))),IF(AH186=700," семьсот",IF(AH186=800," восемьсот",IF(AH186=900," девятьсот",""))))</f>
      </c>
      <c r="AK203" s="95"/>
      <c r="AL203" s="95">
        <f>IF(AND(AG211="",AG209="",AG210="",AG208="",AG207="",AG206="",AG205=""),1,0)+IF(AG204="",1,0)</f>
        <v>2</v>
      </c>
      <c r="AM203" s="94"/>
    </row>
    <row r="204" spans="21:39" s="92" customFormat="1" ht="12" customHeight="1" hidden="1">
      <c r="U204" s="94"/>
      <c r="V204" s="94"/>
      <c r="W204" s="94"/>
      <c r="X204" s="94"/>
      <c r="Y204" s="94"/>
      <c r="Z204" s="95"/>
      <c r="AA204" s="95"/>
      <c r="AB204" s="95"/>
      <c r="AC204" s="95"/>
      <c r="AD204" s="95"/>
      <c r="AE204" s="95">
        <f>IF(SUM(AH188:AH194)=0,PROPER(AG204),AG204)</f>
      </c>
      <c r="AF204" s="95">
        <v>9</v>
      </c>
      <c r="AG204" s="101">
        <f>IF(AND(AH188&lt;20,AH188&gt;10),"",AH204&amp;AJ204&amp;AI204)</f>
      </c>
      <c r="AH204" s="95">
        <f>IF(AL204=1,IF(AH187=1,"один",IF(AH187=2,"два",IF(AH187=3,"три",""))),IF(AH187=1," один",IF(AH187=2," два",IF(AH187=3," три",""))))</f>
      </c>
      <c r="AI204" s="95">
        <f>IF(AL204=1,IF(AH187=4,"четыре",IF(AH187=5,"пять",IF(AH187=6,"шесть",""))),IF(AH187=4," четыре",IF(AH187=5," пять",IF(AH187=6," шесть",""))))</f>
      </c>
      <c r="AJ204" s="95">
        <f>IF(AL204=1,IF(AH187=7,"семь",IF(AH187=8,"восемь",IF(AH187=9,"девять",""))),IF(AH187=7," семь",IF(AH187=8," восемь",IF(AH187=9," девять",""))))</f>
      </c>
      <c r="AK204" s="95">
        <f>IF(AND(AG204="",AG205="",AG206="",AG207=""),"",IF(AND(AH188&lt;20,AH188&gt;10)," миллионов",IF(AH187=1," миллион",IF(OR(AH187=2,AH187=3,AH187=4)," миллиона"," миллионов"))))</f>
      </c>
      <c r="AL204" s="95">
        <f>IF(AND(AG211="",AG209="",AG210="",AG208="",AG207="",AG206="",AG205=""),1,0)</f>
        <v>1</v>
      </c>
      <c r="AM204" s="94"/>
    </row>
    <row r="205" spans="21:39" s="92" customFormat="1" ht="12" customHeight="1" hidden="1">
      <c r="U205" s="94"/>
      <c r="V205" s="94"/>
      <c r="W205" s="94"/>
      <c r="X205" s="94"/>
      <c r="Y205" s="94"/>
      <c r="Z205" s="95"/>
      <c r="AA205" s="95"/>
      <c r="AB205" s="95"/>
      <c r="AC205" s="95"/>
      <c r="AD205" s="95"/>
      <c r="AE205" s="95">
        <f>IF(SUM(AH190:AH194)=0,PROPER(AG205),AG205)</f>
      </c>
      <c r="AF205" s="95">
        <v>10</v>
      </c>
      <c r="AG205" s="101">
        <f>AH205&amp;AJ205&amp;AI205</f>
      </c>
      <c r="AH205" s="95">
        <f>IF(AL205=1,IF(AH188=11,"одиннадцать",IF(AH188=12,"двенадцать",IF(AH188=13,"тринадцать",""))),IF(AH188=11," одиннадцать",IF(AH188=12," двенадцать",IF(AH188=13," тринадцать",""))))</f>
      </c>
      <c r="AI205" s="95">
        <f>IF(AL205=1,IF(AH188=14,"четырнадцать",IF(AH188=15,"пятнадцать",IF(AH188=16,"шестнадцать",""))),IF(AH188=14," четырнадцать",IF(AH188=15," пятнадцать",IF(AH188=16," шестнадцать",""))))</f>
      </c>
      <c r="AJ205" s="95">
        <f>IF(AL205=1,IF(AH188=17,"семнадцать",IF(AH188=18,"восемнадцать",IF(AH188=19,"девятнадцать",""))),IF(AH188=17," семнадцать",IF(AH188=18," восемнадцать",IF(AH188=19," девятнадцать",""))))</f>
      </c>
      <c r="AK205" s="95"/>
      <c r="AL205" s="95">
        <f>IF(AND(AG211="",AG209="",AG210="",AG208="",AG207="",AG206=""),1,0)</f>
        <v>1</v>
      </c>
      <c r="AM205" s="94"/>
    </row>
    <row r="206" spans="21:39" s="92" customFormat="1" ht="12" customHeight="1" hidden="1">
      <c r="U206" s="94"/>
      <c r="V206" s="94"/>
      <c r="W206" s="94"/>
      <c r="X206" s="94"/>
      <c r="Y206" s="94"/>
      <c r="Z206" s="95"/>
      <c r="AA206" s="95"/>
      <c r="AB206" s="95"/>
      <c r="AC206" s="95"/>
      <c r="AD206" s="95"/>
      <c r="AE206" s="95">
        <f>IF(SUM(AH190:AH194)=0,PROPER(AG206),AG206)</f>
      </c>
      <c r="AF206" s="95">
        <v>11</v>
      </c>
      <c r="AG206" s="101">
        <f>IF(AND(AH188&lt;20,AH188&gt;10),"",AH206&amp;AJ206&amp;AI206)</f>
      </c>
      <c r="AH206" s="95">
        <f>IF(AL206=1,IF(AH189=10,"десять",IF(AH189=20,"двадцать",IF(AH189=30,"тридцать",""))),IF(AH189=10," десять",IF(AH189=20," двадцать",IF(AH189=30," тридцать",""))))</f>
      </c>
      <c r="AI206" s="95">
        <f>IF(AL206=1,IF(AH189=40,"сорок",IF(AH189=50,"пятьдесят",IF(AH189=60,"шестьдесят",""))),IF(AH189=40," сорок",IF(AH189=50," пятьдесят",IF(AH189=60," шестьдесят",""))))</f>
      </c>
      <c r="AJ206" s="95">
        <f>IF(AL206=1,IF(AH189=70,"семьдесят",IF(AH189=80,"восемьдесят",IF(AH189=90,"девяносто",""))),IF(AH189=70," семьдесят",IF(AH189=80," восемьдесят",IF(AH189=90," девяносто",""))))</f>
      </c>
      <c r="AK206" s="95"/>
      <c r="AL206" s="95">
        <f>IF(AND(AG211="",AG209="",AG210="",AG208="",AG207=""),1,0)</f>
        <v>1</v>
      </c>
      <c r="AM206" s="94"/>
    </row>
    <row r="207" spans="21:39" s="92" customFormat="1" ht="12" customHeight="1" hidden="1">
      <c r="U207" s="94"/>
      <c r="V207" s="94"/>
      <c r="W207" s="94"/>
      <c r="X207" s="94"/>
      <c r="Y207" s="94"/>
      <c r="Z207" s="95"/>
      <c r="AA207" s="95"/>
      <c r="AB207" s="95"/>
      <c r="AC207" s="95"/>
      <c r="AD207" s="95"/>
      <c r="AE207" s="95">
        <f>IF(SUM(AH191:AH194)=0,PROPER(AG207),AG207)</f>
      </c>
      <c r="AF207" s="95">
        <v>12</v>
      </c>
      <c r="AG207" s="101">
        <f>AH207&amp;AJ207&amp;AI207</f>
      </c>
      <c r="AH207" s="95">
        <f>IF(AL207=1,IF(AH190=100,"сто",IF(AH190=200,"двести",IF(AH190=300,"триста",""))),IF(AH190=100," сто",IF(AH190=200," двести",IF(AH190=300," триста",""))))</f>
      </c>
      <c r="AI207" s="95">
        <f>IF(AL207=1,IF(AH190=400,"четыреста",IF(AH190=500,"пятьсот",IF(AH190=600,"шестьсот",""))),IF(AH190=400," четыреста",IF(AH190=500," пятьсот",IF(AH190=600," шестьсот",""))))</f>
      </c>
      <c r="AJ207" s="95">
        <f>IF(AL207=1,IF(AH190=700,"семьсот",IF(AH190=800,"восемьсот",IF(AH190=900,"девятьсот",""))),IF(AH190=700," семьсот",IF(AH190=800," восемьсот",IF(AH190=900," девятьсот",""))))</f>
      </c>
      <c r="AK207" s="95"/>
      <c r="AL207" s="95">
        <f>IF(AND(AG211="",AG209="",AG210="",AG208=""),1,0)</f>
        <v>1</v>
      </c>
      <c r="AM207" s="94"/>
    </row>
    <row r="208" spans="21:39" s="92" customFormat="1" ht="12" customHeight="1" hidden="1">
      <c r="U208" s="94"/>
      <c r="V208" s="94"/>
      <c r="W208" s="94"/>
      <c r="X208" s="94"/>
      <c r="Y208" s="94"/>
      <c r="Z208" s="95"/>
      <c r="AA208" s="95"/>
      <c r="AB208" s="95"/>
      <c r="AC208" s="95"/>
      <c r="AD208" s="95"/>
      <c r="AE208" s="95">
        <f>IF(SUM(AH192:AH194)=0,PROPER(AG208),AG208)</f>
      </c>
      <c r="AF208" s="95">
        <v>13</v>
      </c>
      <c r="AG208" s="101">
        <f>IF(AND(AH192&lt;20,AH192&gt;10),"",AH208&amp;AJ208&amp;AI208)</f>
      </c>
      <c r="AH208" s="95">
        <f>IF(AL208=1,IF(AH191=1,"один",IF(AH191=2,"два",IF(AH191=3,"три",""))),IF(AH191=1," один",IF(AH191=2," два",IF(AH191=3," три",""))))</f>
      </c>
      <c r="AI208" s="95">
        <f>IF(AL208=1,IF(AH191=4,"четыре",IF(AH191=5,"пять",IF(AH191=6,"шесть",""))),IF(AH191=4," четыре",IF(AH191=5," пять",IF(AH191=6," шесть",""))))</f>
      </c>
      <c r="AJ208" s="95">
        <f>IF(AL208=1,IF(AH191=7,"семь",IF(AH191=8,"восемь",IF(AH191=9,"девять",""))),IF(AH191=7," семь",IF(AH191=8," восемь",IF(AH191=9," девять",""))))</f>
      </c>
      <c r="AK208" s="95">
        <f>IF(AND(AG208="",AG209="",AG210="",AG211=""),"",IF(AND(AH192&lt;20,AH192&gt;10)," миллиардов",IF(AH191=1," миллиард",IF(OR(AH191=2,AH191=3,AH191=4)," миллиарда"," миллиардов"))))</f>
      </c>
      <c r="AL208" s="95">
        <f>IF(AND(AG211="",AG209="",AG210=""),1,0)</f>
        <v>1</v>
      </c>
      <c r="AM208" s="94"/>
    </row>
    <row r="209" spans="21:39" s="92" customFormat="1" ht="12" customHeight="1" hidden="1">
      <c r="U209" s="94"/>
      <c r="V209" s="94"/>
      <c r="W209" s="94"/>
      <c r="X209" s="94"/>
      <c r="Y209" s="94"/>
      <c r="Z209" s="95"/>
      <c r="AA209" s="95"/>
      <c r="AB209" s="95"/>
      <c r="AC209" s="95"/>
      <c r="AD209" s="95"/>
      <c r="AE209" s="95">
        <f>IF(AH194=0,PROPER(AG209),AG209)</f>
      </c>
      <c r="AF209" s="95">
        <v>14</v>
      </c>
      <c r="AG209" s="101">
        <f>AH209&amp;AJ209&amp;AI209</f>
      </c>
      <c r="AH209" s="95">
        <f>IF(AL209=1,IF(AH192=11,"одиннадцать",IF(AH192=12,"двенадцать",IF(AH192=13,"тринадцать",""))),IF(AH192=11," одиннадцать",IF(AH192=12," двенадцать",IF(AH192=13," тринадцать",""))))</f>
      </c>
      <c r="AI209" s="95">
        <f>IF(AL209=1,IF(AH192=14,"четырнадцать",IF(AH192=15,"пятнадцать",IF(AH192=16,"шестнадцать",""))),IF(AH192=14," четырнадцать",IF(AH192=15," пятнадцать",IF(AH192=16," шестнадцать",""))))</f>
      </c>
      <c r="AJ209" s="95">
        <f>IF(AL209=1,IF(AH192=17,"семнадцать",IF(AH192=18,"восемнадцать",IF(AH192=19,"девятнадцать",""))),IF(AH192=17," семнадцать",IF(AH192=18," восемнадцать",IF(AH192=19," девятнадцать",""))))</f>
      </c>
      <c r="AK209" s="95"/>
      <c r="AL209" s="95">
        <f>IF(AND(AG210="",AG211=""),1,0)</f>
        <v>1</v>
      </c>
      <c r="AM209" s="94"/>
    </row>
    <row r="210" spans="21:39" s="92" customFormat="1" ht="12" customHeight="1" hidden="1">
      <c r="U210" s="94"/>
      <c r="V210" s="94"/>
      <c r="W210" s="94"/>
      <c r="X210" s="94"/>
      <c r="Y210" s="94"/>
      <c r="Z210" s="95"/>
      <c r="AA210" s="95"/>
      <c r="AB210" s="95"/>
      <c r="AC210" s="95"/>
      <c r="AD210" s="95"/>
      <c r="AE210" s="95">
        <f>IF(SUM(AH194)=0,PROPER(AG210),AG210)</f>
      </c>
      <c r="AF210" s="95">
        <v>15</v>
      </c>
      <c r="AG210" s="101">
        <f>IF(AND(AH192&lt;20,AH192&gt;10),"",AH210&amp;AJ210&amp;AI210)</f>
      </c>
      <c r="AH210" s="95">
        <f>IF(AL210=1,IF(AH193=10,"десять",IF(AH193=20,"двадцать",IF(AH193=30,"тридцать",""))),IF(AH193=10," десять",IF(AH193=20," двадцать",IF(AH193=30," тридцать",""))))</f>
      </c>
      <c r="AI210" s="95">
        <f>IF(AL210=1,IF(AH193=40,"сорок",IF(AH193=50,"пятьдесят",IF(AH193=60,"шестьдесят",""))),IF(AH193=40," сорок",IF(AH193=50," пятьдесят",IF(AH193=60," шестьдесят",""))))</f>
      </c>
      <c r="AJ210" s="95">
        <f>IF(AL210=1,IF(AH193=70,"семьдесят",IF(AH193=80,"восемьдесят",IF(AH193=90,"девяносто",""))),IF(AH193=70," семьдесят",IF(AH193=80," восемьдесят",IF(AH193=90," девяносто",""))))</f>
      </c>
      <c r="AK210" s="95"/>
      <c r="AL210" s="95">
        <f>IF(AG211="",1,0)</f>
        <v>1</v>
      </c>
      <c r="AM210" s="94"/>
    </row>
    <row r="211" spans="21:39" s="92" customFormat="1" ht="12" customHeight="1" hidden="1">
      <c r="U211" s="94"/>
      <c r="V211" s="94"/>
      <c r="W211" s="94"/>
      <c r="X211" s="94"/>
      <c r="Y211" s="94"/>
      <c r="Z211" s="95"/>
      <c r="AA211" s="95"/>
      <c r="AB211" s="95"/>
      <c r="AC211" s="95"/>
      <c r="AD211" s="95"/>
      <c r="AE211" s="95">
        <f>PROPER(AG211)</f>
      </c>
      <c r="AF211" s="95">
        <v>16</v>
      </c>
      <c r="AG211" s="101">
        <f>AH211&amp;AI211</f>
      </c>
      <c r="AH211" s="95">
        <f>IF(AH194=100,"сто",IF(AH194=200,"двести",IF(AH194=300,"триста",IF(AH194=400,"четыреста",IF(AH194=500,"пятьсот",IF(AH194=600,"шестьсот",""))))))</f>
      </c>
      <c r="AI211" s="95">
        <f>IF(AH194=700,"семьсот",IF(AH194=800,"восемьсот",IF(AH194=900,"девятьсот","")))</f>
      </c>
      <c r="AJ211" s="95"/>
      <c r="AK211" s="95"/>
      <c r="AL211" s="95"/>
      <c r="AM211" s="94"/>
    </row>
    <row r="212" spans="21:39" s="92" customFormat="1" ht="12" customHeight="1" hidden="1"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</row>
    <row r="213" s="92" customFormat="1" ht="12" customHeight="1" hidden="1"/>
  </sheetData>
  <sheetProtection/>
  <mergeCells count="96">
    <mergeCell ref="AA37:AK38"/>
    <mergeCell ref="T64:AD65"/>
    <mergeCell ref="G66:S67"/>
    <mergeCell ref="F64:L65"/>
    <mergeCell ref="W66:AD66"/>
    <mergeCell ref="T61:AD61"/>
    <mergeCell ref="W62:AD62"/>
    <mergeCell ref="AB55:AJ55"/>
    <mergeCell ref="C49:AK49"/>
    <mergeCell ref="C50:AK50"/>
    <mergeCell ref="AE70:AK70"/>
    <mergeCell ref="M64:N64"/>
    <mergeCell ref="AE69:AK69"/>
    <mergeCell ref="G68:AC68"/>
    <mergeCell ref="I69:AC69"/>
    <mergeCell ref="AE66:AH66"/>
    <mergeCell ref="AI66:AK66"/>
    <mergeCell ref="AE67:AH68"/>
    <mergeCell ref="AI67:AK68"/>
    <mergeCell ref="AE65:AH65"/>
    <mergeCell ref="C82:AK84"/>
    <mergeCell ref="C74:AK74"/>
    <mergeCell ref="C75:AK75"/>
    <mergeCell ref="C76:AK76"/>
    <mergeCell ref="L78:T78"/>
    <mergeCell ref="AB78:AJ78"/>
    <mergeCell ref="C71:AK71"/>
    <mergeCell ref="C72:AK72"/>
    <mergeCell ref="C73:AK73"/>
    <mergeCell ref="AB56:AJ56"/>
    <mergeCell ref="C59:K59"/>
    <mergeCell ref="L59:Q59"/>
    <mergeCell ref="I60:O60"/>
    <mergeCell ref="AF59:AK59"/>
    <mergeCell ref="AE61:AK61"/>
    <mergeCell ref="AE62:AK62"/>
    <mergeCell ref="F40:AC40"/>
    <mergeCell ref="C35:J35"/>
    <mergeCell ref="G43:AC43"/>
    <mergeCell ref="C53:AK53"/>
    <mergeCell ref="AE42:AK42"/>
    <mergeCell ref="F44:AK45"/>
    <mergeCell ref="I46:AC46"/>
    <mergeCell ref="C48:AK48"/>
    <mergeCell ref="C51:AK51"/>
    <mergeCell ref="C52:AK52"/>
    <mergeCell ref="C29:AK29"/>
    <mergeCell ref="I31:Q31"/>
    <mergeCell ref="AE39:AK41"/>
    <mergeCell ref="C41:AC41"/>
    <mergeCell ref="H42:AC42"/>
    <mergeCell ref="AB31:AJ31"/>
    <mergeCell ref="E38:J38"/>
    <mergeCell ref="AF35:AK35"/>
    <mergeCell ref="C40:E40"/>
    <mergeCell ref="U37:Z38"/>
    <mergeCell ref="C17:AC17"/>
    <mergeCell ref="H18:AK18"/>
    <mergeCell ref="C24:AK24"/>
    <mergeCell ref="AE17:AK17"/>
    <mergeCell ref="AE14:AK16"/>
    <mergeCell ref="AE22:AK22"/>
    <mergeCell ref="AE23:AK23"/>
    <mergeCell ref="G19:AK19"/>
    <mergeCell ref="F20:AK21"/>
    <mergeCell ref="I22:AC22"/>
    <mergeCell ref="C10:I10"/>
    <mergeCell ref="J10:O10"/>
    <mergeCell ref="C11:Q11"/>
    <mergeCell ref="AF10:AK10"/>
    <mergeCell ref="C16:E16"/>
    <mergeCell ref="C27:AK27"/>
    <mergeCell ref="C26:AK26"/>
    <mergeCell ref="G12:M12"/>
    <mergeCell ref="E14:J14"/>
    <mergeCell ref="F16:AC16"/>
    <mergeCell ref="U12:Z13"/>
    <mergeCell ref="AA12:AK13"/>
    <mergeCell ref="B1:AL1"/>
    <mergeCell ref="AE64:AH64"/>
    <mergeCell ref="AI64:AK64"/>
    <mergeCell ref="AE60:AK60"/>
    <mergeCell ref="W60:AD60"/>
    <mergeCell ref="O64:S64"/>
    <mergeCell ref="AE46:AK46"/>
    <mergeCell ref="AE47:AK47"/>
    <mergeCell ref="AI65:AK65"/>
    <mergeCell ref="K35:P35"/>
    <mergeCell ref="H36:N36"/>
    <mergeCell ref="E62:J62"/>
    <mergeCell ref="W63:AD63"/>
    <mergeCell ref="C25:AK25"/>
    <mergeCell ref="AE63:AH63"/>
    <mergeCell ref="AI63:AK63"/>
    <mergeCell ref="AB32:AJ32"/>
    <mergeCell ref="C28:AK28"/>
  </mergeCells>
  <dataValidations count="1">
    <dataValidation type="list" allowBlank="1" showInputMessage="1" showErrorMessage="1" sqref="AO20">
      <formula1>$AP$20:$AP$21</formula1>
    </dataValidation>
  </dataValidation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2016-07-05T09:07:57Z</cp:lastPrinted>
  <dcterms:created xsi:type="dcterms:W3CDTF">2003-10-18T11:05:50Z</dcterms:created>
  <dcterms:modified xsi:type="dcterms:W3CDTF">2021-03-17T08:37:46Z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