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11640" tabRatio="845" activeTab="0"/>
  </bookViews>
  <sheets>
    <sheet name="Рекомендации" sheetId="1" r:id="rId1"/>
    <sheet name="Положение" sheetId="2" r:id="rId2"/>
    <sheet name="Исходные данные" sheetId="3" r:id="rId3"/>
    <sheet name="Пособие по временной нетрудосп." sheetId="4" r:id="rId4"/>
    <sheet name="Выходная форма по врем. нетруд." sheetId="5" r:id="rId5"/>
    <sheet name="Вид нетрудоспособ." sheetId="6" state="hidden" r:id="rId6"/>
    <sheet name="календарь" sheetId="7" state="hidden" r:id="rId7"/>
    <sheet name="информация" sheetId="8" r:id="rId8"/>
    <sheet name="прописью" sheetId="9" state="hidden" r:id="rId9"/>
  </sheets>
  <definedNames>
    <definedName name="_xlnm.Print_Area" localSheetId="4">'Выходная форма по врем. нетруд.'!$C$4:$K$44</definedName>
    <definedName name="_xlnm.Print_Area" localSheetId="2">'Исходные данные'!$C$3:$E$315</definedName>
    <definedName name="_xlnm.Print_Area" localSheetId="1">'Положение'!$C$3:$C$167</definedName>
    <definedName name="_xlnm.Print_Area" localSheetId="3">'Пособие по временной нетрудосп.'!$C$4:$M$127</definedName>
    <definedName name="_xlnm.Print_Area" localSheetId="0">'Рекомендации'!$C$3:$C$14</definedName>
  </definedNames>
  <calcPr fullCalcOnLoad="1"/>
</workbook>
</file>

<file path=xl/comments3.xml><?xml version="1.0" encoding="utf-8"?>
<comments xmlns="http://schemas.openxmlformats.org/spreadsheetml/2006/main">
  <authors>
    <author>shimanovich</author>
  </authors>
  <commentList>
    <comment ref="M6" authorId="0">
      <text>
        <r>
          <rPr>
            <b/>
            <sz val="8"/>
            <rFont val="Tahoma"/>
            <family val="0"/>
          </rPr>
          <t>выберите из раскрывающегося списка сотрудника</t>
        </r>
      </text>
    </comment>
    <comment ref="Q10" authorId="0">
      <text>
        <r>
          <rPr>
            <b/>
            <sz val="8"/>
            <rFont val="Tahoma"/>
            <family val="0"/>
          </rPr>
          <t>выберите из раскрывающегося списка вид нетрудоспособности</t>
        </r>
      </text>
    </comment>
    <comment ref="I12" authorId="0">
      <text>
        <r>
          <rPr>
            <b/>
            <sz val="8"/>
            <rFont val="Tahoma"/>
            <family val="2"/>
          </rPr>
          <t>В соответствии с п. 18 Положения  № 569</t>
        </r>
        <r>
          <rPr>
            <sz val="8"/>
            <rFont val="Tahoma"/>
            <family val="2"/>
          </rPr>
          <t xml:space="preserve"> постановление Совет Министров Республики Беларусь, пособие по временной нетрудоспособности назначается в размере 100%  среднедневного заработка за календарные дни, удостоверенные листком нетрудоспособности:
-  инвалидам Великой Отечественной войны, инвалидам боевых действий на территории других государств, участникам Великой Отечественной войны, а также лицам, указанным в ч. 2 ст. 12 и ч.2 ст. 13 Закона Республики Беларусь "О ветеранах";
- гражданам, пострадавшим от катастрофы на Чернобыльской АЭС, других радиационных аварий, указанным в п. 1 и 3 ст. 13, п. 1 ст. 18 и 24 - 26 Закона Республики Беларусь от 0 6.01.2009"О социальной защите граждан, пострадавших от катастрофы на Чернобыльской АЭС, других радиационных аварий" (Национальный реестр правовых актов Республики Беларусь, 2009 г., N 17, 2/1561);
-  донорам, сдавшим кровь (мужчины - не менее четырех донаций, женщины - не менее трех донаций) и ее компоненты (не менее 14 донаций) в течение 12 месяцев, предшествующих дню наступления временной нетрудоспособности (независимо от причины ее наступления);
-  живым донорам на период временной нетрудоспособности, наступившей в связи с забором у них органов и (или) тканей человека;
- лицам, осуществляющим уход за больным ребенком в возрасте до 14 лет при оказании медицинской помощи в амбулаторных условиях и за больным ребенком в возрасте до 14 лет (ребенком-инвалидом в возрасте до 18 лет) при оказании медицинской помощи в стационарных условиях,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 а также за ребенком-инвалидом в возрасте до 18 лет в случае его санаторно-курортного лечения, медицинской реабилитации.</t>
        </r>
      </text>
    </comment>
    <comment ref="I14" authorId="0">
      <text>
        <r>
          <rPr>
            <sz val="8"/>
            <rFont val="Tahoma"/>
            <family val="2"/>
          </rPr>
          <t xml:space="preserve">Пособие по временной нетрудоспособности назначается в размере 50% установленного размера в случае  наступления временной нетрудоспособности в период прогула без уважительной причины </t>
        </r>
        <r>
          <rPr>
            <b/>
            <sz val="8"/>
            <rFont val="Tahoma"/>
            <family val="2"/>
          </rPr>
          <t>(подп. 19.3 п. 19 Положения  № 569)</t>
        </r>
        <r>
          <rPr>
            <sz val="8"/>
            <rFont val="Tahoma"/>
            <family val="2"/>
          </rPr>
          <t>.</t>
        </r>
      </text>
    </comment>
    <comment ref="M12" authorId="0">
      <text>
        <r>
          <rPr>
            <b/>
            <sz val="8"/>
            <rFont val="Tahoma"/>
            <family val="0"/>
          </rPr>
          <t>выберите из раскрывающегося списка нужный вариант</t>
        </r>
      </text>
    </comment>
    <comment ref="L14" authorId="0">
      <text>
        <r>
          <rPr>
            <b/>
            <sz val="8"/>
            <rFont val="Tahoma"/>
            <family val="0"/>
          </rPr>
          <t>выберите из раскрывающегося списка нужный вариант</t>
        </r>
      </text>
    </comment>
    <comment ref="O16" authorId="0">
      <text>
        <r>
          <rPr>
            <b/>
            <sz val="8"/>
            <rFont val="Tahoma"/>
            <family val="0"/>
          </rPr>
          <t>выберите из раскрывающегося списка нужный вариант</t>
        </r>
      </text>
    </comment>
    <comment ref="U22" authorId="0">
      <text>
        <r>
          <rPr>
            <b/>
            <sz val="8"/>
            <rFont val="Tahoma"/>
            <family val="0"/>
          </rPr>
          <t>выберите из раскрывающегося списка нужный вариант</t>
        </r>
      </text>
    </comment>
    <comment ref="I26" authorId="0">
      <text>
        <r>
          <rPr>
            <sz val="8"/>
            <rFont val="Tahoma"/>
            <family val="2"/>
          </rPr>
          <t>Информация по временной нетрудоспособности вносится только в том случае, если листок нетрудоспособности является продолжением ранее выданного листка</t>
        </r>
      </text>
    </comment>
  </commentList>
</comments>
</file>

<file path=xl/comments4.xml><?xml version="1.0" encoding="utf-8"?>
<comments xmlns="http://schemas.openxmlformats.org/spreadsheetml/2006/main">
  <authors>
    <author>Администратор</author>
    <author>shimanovich</author>
  </authors>
  <commentList>
    <comment ref="M19" authorId="0">
      <text>
        <r>
          <rPr>
            <sz val="8"/>
            <rFont val="Tahoma"/>
            <family val="2"/>
          </rPr>
          <t xml:space="preserve">В соответствии с ч. 5 п. 24 Положения  № 569,
заработок для исчисления пособий за каждый календарный месяц расчетного периода не может превышать сумму, на которую начисляются обязательные страховые взносы в соответствии с законодательством. А именно, С 1 января 2015 г. такое ограничение составляет пятикратную величину средней заработной платы работников в республике за месяц, предшествующий месяцу, за который такие взносы уплачиваются . До указанной даты ограничение было установлено в размере четырехкратной величины такого статистического показателя  (абз. 2 ст. 2 Закона №  138-XIII, п. 1.5 Указа № 570).
</t>
        </r>
      </text>
    </comment>
    <comment ref="J106" authorId="0">
      <text>
        <r>
          <rPr>
            <sz val="8"/>
            <rFont val="Tahoma"/>
            <family val="2"/>
          </rPr>
          <t>В соответствии с ч. 4, 5 п. 16 Положения  № 569, минимальный размер пособий в месяц устанавливается в размере 50% наибольшей величины бюджета прожиточного минимума в среднем на душу населения, утвержденного Советом Министров Республики Беларусь, за два последних квартала относительно каждого месяца, в котором имели место временная нетрудоспособность.
Минимальный размер пособий за неполный месяц определяется в размере величины, получаемой путем деления минимального размера пособия в месяц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согласно листку нетрудоспособности в этом месяце</t>
        </r>
      </text>
    </comment>
    <comment ref="K106" authorId="0">
      <text>
        <r>
          <rPr>
            <sz val="8"/>
            <rFont val="Tahoma"/>
            <family val="2"/>
          </rPr>
          <t>В соответствии с п. 29 Положения  № 569, м</t>
        </r>
        <r>
          <rPr>
            <sz val="9"/>
            <rFont val="Times New Roman"/>
            <family val="1"/>
          </rPr>
          <t>аксимальный размер пособия, исчисленного работнику за календарный месяц по каждому месту работы устанавливается в размере трехкратной величины средней заработной платы работников в республике в месяце, предшествующем месяцу, в котором возникло право на пособие.
Максимальный размер пособия за неполный календарный месяц определяется в размере величины, получаемой путем деления трехкратной величины средней заработной платы работников в республике в месяце, предшествующем месяцу, в котором возникло право на пособие,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согласно листку нетрудоспособности в этом месяце</t>
        </r>
        <r>
          <rPr>
            <sz val="8"/>
            <rFont val="Tahoma"/>
            <family val="2"/>
          </rPr>
          <t xml:space="preserve">
</t>
        </r>
      </text>
    </comment>
    <comment ref="C13" authorId="1">
      <text>
        <r>
          <rPr>
            <sz val="8"/>
            <rFont val="Tahoma"/>
            <family val="2"/>
          </rPr>
          <t>Днем возникновения права на пособия является первый день освобождения от работы в связи с временной нетрудоспособностью, беременностью и родами, а также усыновлением (удочерением), установлением опеки над ребенком в возрасте до 3 месяцев согласно листку нетрудоспособности.</t>
        </r>
      </text>
    </comment>
    <comment ref="C14" authorId="1">
      <text>
        <r>
          <rPr>
            <sz val="8"/>
            <rFont val="Tahoma"/>
            <family val="2"/>
          </rPr>
          <t>Пособие по временной нетрудоспособности назначается, если обращение за ним последовало не позднее 6 месяцев со дня, следующего за днем окончания периода освобождения от работы в связи с временной нетрудоспособностью.</t>
        </r>
      </text>
    </comment>
    <comment ref="C4" authorId="1">
      <text>
        <r>
          <rPr>
            <sz val="8"/>
            <rFont val="Tahoma"/>
            <family val="2"/>
          </rPr>
          <t>Пособие по временной нетрудоспособности не назначается:
  - в случае умышленного причинения вреда своему здоровью в целях уклонения от работы или от других обязанностей;
  - в случае, если временная нетрудоспособность наступила в связи с травмой, полученной при совершении преступления;
  - за время принудительного лечения по решению суда (кроме лиц, страдающих психическими расстройствами (заболеваниями)), нахождения граждан в лечебно-трудовых профилакториях;
  - за период нахождения под арестом, за время судебно-медицинской экспертизы, за время отстранения от работы в случаях, предусмотренных статьей 49 Трудового кодекса Республики Беларусь (кроме случаев отстранения от работы органами и учреждениями, осуществляющими государственный санитарный надзор, лиц, являющихся бактерионосителями, и в связи с карантином), а также за период временного отстранения работника от должности в соответствии со статьей 131 Уголовно-процессуального кодекса Республики Беларусь;
  - за период, за который начислялась заработная плата, а также сохранялся средний заработок полностью или частично в соответствии с законодательством, кроме периодов простоя, оплачиваемых в соответствии со статьей 71 Трудового кодекса Республики Беларусь, трудового отпуска и служебной командировки;
  - за период отпуска без сохранения заработной платы;
  - за период после прекращения работы по трудовому договору, на основе членства (участия) в юридических лицах любых организационно-правовых форм, по гражданско-правовому договору, предметом которого являются оказание услуг, выполнение работ и создание объектов интеллектуальной собственности, а также предпринимательской, творческой и иной деятельности в случаях, указанных в абзацах 3-5, 7 подпункта 2.1 пункта 2 настоящего Положения;
  - за время спора о законности увольнения (в случае восстановления на работе пособие по временной нетрудоспособности выплачивается со дня вынесения решения о восстановлении на работе).</t>
        </r>
      </text>
    </comment>
    <comment ref="E19" authorId="1">
      <text>
        <r>
          <rPr>
            <sz val="8"/>
            <rFont val="Tahoma"/>
            <family val="2"/>
          </rPr>
          <t xml:space="preserve">  В заработок для исчисления пособий работникам включаются виды оплаты труда (за исключением выплат, носящих единовременный характер), на которые в соответствии с законодательством начисляются обязательные страховые взносы.
  Заработная плата, надбавки и доплаты к ней включаются в заработок того месяца, за который они начислены.
  Премии и иные выплаты включаются в заработок за тот месяц, в котором они выплачены. Месяцем их выплаты считается месяц, на который они приходятся согласно лицевому счету, расчетной ведомости. Если в месяце, за который исчисляется заработок, работник отработал не все рабочие дни по графику работы, премии и иные выплаты при исчислении пособий учитываются пропорционально отработанному времени в данном месяце.
  Выплаты, произведенные за периоды, исключаемые при определении среднедневного заработка согласно части второй пункта 22 Положения, а также выплаты, право на которые не утрачивается работником в связи с временной нетрудоспособностью, беременностью и родами, в заработок для исчисления пособий не включаются.</t>
        </r>
      </text>
    </comment>
    <comment ref="E20" authorId="1">
      <text>
        <r>
          <rPr>
            <sz val="8"/>
            <rFont val="Tahoma"/>
            <family val="2"/>
          </rPr>
          <t xml:space="preserve">  Работникам, не имеющим в расчетном периоде заработка или имеющим заработок менее чем за календарный месяц, пособия исчисляются исходя из тарифной ставки (оклада) (без надбавок и повышений), установленной(ого) на день возникновения права на пособия (далее - тарифная ставка (оклад), или исходя из среднего заработка, сохраненного за работником в расчетном периоде в соответствии с законодательством (за периоды трудового отпуска, отпуска по беременности и родам, временной нетрудоспособности и в других случаях) (далее - средний заработок).
  При исчислении пособий исходя из тарифной ставки (оклада) применяется ее (его) среднедневной размер, который определяется для каждого месяца, в котором имели место временная нетрудоспособность, отпуск по беременности и родам, путем деления размера тарифной ставки (оклада) на число календарных дней в данном месяце.  </t>
        </r>
      </text>
    </comment>
    <comment ref="J19" authorId="1">
      <text>
        <r>
          <rPr>
            <sz val="8"/>
            <rFont val="Tahoma"/>
            <family val="2"/>
          </rPr>
          <t>Если в месяце, за который исчисляется заработок, работник отработал не все рабочие дни по графику работы, премии и иные выплаты при исчислении пособий учитываются пропорционально отработанному времени в данном месяце ( ч. 3 п. 24 Положения  № 569).</t>
        </r>
      </text>
    </comment>
    <comment ref="C31"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32"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44"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45"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57"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58"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70"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71"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83"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84"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 ref="C96" authorId="1">
      <text>
        <r>
          <rPr>
            <sz val="8"/>
            <rFont val="Tahoma"/>
            <family val="2"/>
          </rPr>
          <t>В число календарных дней расчетного периода, на которые делится заработок, не включаются периоды:
  трудового и социального отпусков;
  временной нетрудоспособности;
  простоя не по вине работника;
  освобождения от работы в соответствии с  законодательством в других случаях.</t>
        </r>
      </text>
    </comment>
    <comment ref="C97" authorId="1">
      <text>
        <r>
          <rPr>
            <sz val="8"/>
            <rFont val="Tahoma"/>
            <family val="2"/>
          </rPr>
          <t xml:space="preserve">    При расчете пособия на основании гражданско-правового договора указывается (вручную) число календарных дней периода выполнения работ по гражданско-правовому договору, за который выплачено вознаграждение (вознаграждения).
   При расчете пособия на основании тарифной ставки (среднего заработка, сохраняемого за работником в расчетном периоде) указывается (вручную) календарное количество дней месяца, в котором имела место временная нетрудоспособности.</t>
        </r>
      </text>
    </comment>
  </commentList>
</comments>
</file>

<file path=xl/sharedStrings.xml><?xml version="1.0" encoding="utf-8"?>
<sst xmlns="http://schemas.openxmlformats.org/spreadsheetml/2006/main" count="659" uniqueCount="300">
  <si>
    <t xml:space="preserve">Расчет пособия по временной нетрудоспосбности производится в следующей последовательности: 
заходите на лист "исходные данные" и в таблице "перечень сотрудников" вносите информацию по сотрудникам Вашей организации. Затем на листе "Исходные данные для расчета пособия", расположенном справа, укажите всю информацию для расчета пособия по временной нетрудоспособности. Из раскрывающегося списка выберите фамилию, имя и отчество сотрудника, табельный номер отобразится автоматически. </t>
  </si>
  <si>
    <t xml:space="preserve">    Далее из раскрывающегося списка выбираете вид нетрудоспособности. В том случае, если листок нетрудоспособности является продолжением ранее выданного листка нетрудоспособности, то следует выбрать слово "да" и ввести дату начала случая временной нетрудоспособности. 
После того как Вы заполнили все данные по сотруднику, Вы переходите на лист " Пособие по временной нетрудоспособности". Все данные по выбранному Вами сотруднику переносятся автоматически, кроме данных по реквизитам листка нетрудоспособности (серия и номер), которые Вы вносите дополнительно. </t>
  </si>
  <si>
    <t xml:space="preserve">    Далее Вы указываете все данные о рабочем времени (отработанные и запланированные по графику дни (часы)) каждого месяца, указываются для определения суммы премии, учитываемой в расчете. Данные вносятся только в ячейки, не выделенные голубым цветом. </t>
  </si>
  <si>
    <t xml:space="preserve">    Таблица, расположенная ниже, заполняется автоматически на основе данных, занесенных в таблицу "Расчет среднедневного заработка".</t>
  </si>
  <si>
    <t xml:space="preserve">Рекомендации по заполнению калькулятора </t>
  </si>
  <si>
    <t>ПЕРЕЧЕНЬ СОТРУДНИКОВ</t>
  </si>
  <si>
    <t>№ п/п</t>
  </si>
  <si>
    <t>Фамилия, имя, отчество</t>
  </si>
  <si>
    <t>Днем обращения за пособиями является день представления листков нетрудоспособности, выданных и оформленных в порядке, установленном законодательством, а в случаях, указанных в абзаце третьем части третьей пункта 2 настоящего Положения, для лиц, представивших листки нетрудоспособности до подачи документов персонифицированного учета за отчетный год, – день представления таких документов.</t>
  </si>
  <si>
    <t>Табельный номер</t>
  </si>
  <si>
    <t>Сотрудник</t>
  </si>
  <si>
    <t>Вид нетрудоспособности</t>
  </si>
  <si>
    <t>Заболевание общее</t>
  </si>
  <si>
    <t>Принцип расчета</t>
  </si>
  <si>
    <t>Расчет производится исходя из среднего заработка, сохраненного за работником в расчетном периоде в соответствии с законодательством</t>
  </si>
  <si>
    <t>Льгота</t>
  </si>
  <si>
    <t>да</t>
  </si>
  <si>
    <t>Прогул</t>
  </si>
  <si>
    <t>нет</t>
  </si>
  <si>
    <t>Листок нетрудоспособности является продолжением ранее выданного листка</t>
  </si>
  <si>
    <t>табл. 1</t>
  </si>
  <si>
    <t>Общий порядок</t>
  </si>
  <si>
    <t>100% с первого дня</t>
  </si>
  <si>
    <t xml:space="preserve">Кол-во календ. дней </t>
  </si>
  <si>
    <t>1 м-ц</t>
  </si>
  <si>
    <t>2 м-ц</t>
  </si>
  <si>
    <t>3 м-ц</t>
  </si>
  <si>
    <t>табл. 2</t>
  </si>
  <si>
    <t>обший порядок</t>
  </si>
  <si>
    <t>Заболевание общее, алкогольное опьянение</t>
  </si>
  <si>
    <t>50% от положенного , первые 6 дней неоплачиваются</t>
  </si>
  <si>
    <t>Заболевание общее, заболевание, связанное с употреб.алк.</t>
  </si>
  <si>
    <t>Травма в быту</t>
  </si>
  <si>
    <t>Травма в быту, алк.опьянение</t>
  </si>
  <si>
    <t>Уход за больн. членом семьи  (ребенком до 14 лет, реб.-инв. до 18 лет)</t>
  </si>
  <si>
    <t>Уход за больным членом семьи (достигшим 14 лет)</t>
  </si>
  <si>
    <t>Уход за ребенком до 3-х лет в случае болезни матери</t>
  </si>
  <si>
    <t>Уход за  ребенком-инвалидом до 18 лет в сл. болезни матери (лица, осущ. уход)</t>
  </si>
  <si>
    <t>Сан.-курортн.лечение, мед. реабилитация ребенка-инвалида до 18 лет</t>
  </si>
  <si>
    <t>Протезирование</t>
  </si>
  <si>
    <t>Карантин</t>
  </si>
  <si>
    <t>Расчет производится исходя из среднедневного заработка</t>
  </si>
  <si>
    <t>Расчет производится исходя из тарифной ставки (оклада) (без надбавок и повышений)</t>
  </si>
  <si>
    <t>Расчет производится в минимальном размере</t>
  </si>
  <si>
    <t>Исходные данные для расчета пособия</t>
  </si>
  <si>
    <t>Январь</t>
  </si>
  <si>
    <t>Декабрь</t>
  </si>
  <si>
    <t>Февраль</t>
  </si>
  <si>
    <t>Март</t>
  </si>
  <si>
    <t>Апрель</t>
  </si>
  <si>
    <t>Май</t>
  </si>
  <si>
    <t>Июнь</t>
  </si>
  <si>
    <t>Июль</t>
  </si>
  <si>
    <t>Август</t>
  </si>
  <si>
    <t>Сентябрь</t>
  </si>
  <si>
    <t>Октябрь</t>
  </si>
  <si>
    <t>Ноябрь</t>
  </si>
  <si>
    <t>месяц</t>
  </si>
  <si>
    <t xml:space="preserve">Номинальная начисленная средняя заработная плата в Республике Беларусь, рублей </t>
  </si>
  <si>
    <t>Год</t>
  </si>
  <si>
    <t xml:space="preserve"> В ценах
  месяца</t>
  </si>
  <si>
    <t>В среднем  на душу населения, руб.</t>
  </si>
  <si>
    <t>Макс</t>
  </si>
  <si>
    <t>Листок нетрудоспособности</t>
  </si>
  <si>
    <t>Серия</t>
  </si>
  <si>
    <t>Номер</t>
  </si>
  <si>
    <t>Период нетрудоспособности с</t>
  </si>
  <si>
    <t>наименование</t>
  </si>
  <si>
    <t>надбавка</t>
  </si>
  <si>
    <t>Итого</t>
  </si>
  <si>
    <t>К РАСЧЕТУ</t>
  </si>
  <si>
    <t>ВСЕГО</t>
  </si>
  <si>
    <t>НАЗНАЧЕНО ПОСОБИЕ</t>
  </si>
  <si>
    <t>Месяц</t>
  </si>
  <si>
    <t>Размер,%</t>
  </si>
  <si>
    <t>Минимальный размер, руб.</t>
  </si>
  <si>
    <t>Всего</t>
  </si>
  <si>
    <t>х</t>
  </si>
  <si>
    <t>ИТОГО</t>
  </si>
  <si>
    <t>ВСЕГО К ВЫПЛАТЕ</t>
  </si>
  <si>
    <t>(сумма прописью)</t>
  </si>
  <si>
    <t>Включено в платежную ведомость за</t>
  </si>
  <si>
    <t>(прописью)</t>
  </si>
  <si>
    <t>Расчет пособия по временной нетрудоспособности за</t>
  </si>
  <si>
    <t>по</t>
  </si>
  <si>
    <t>1. Исходные данные для расчета пособия</t>
  </si>
  <si>
    <t>Справочно: месяц, в котором наступило право на пособие</t>
  </si>
  <si>
    <t>Имеется ли право на пособие в связи с датой обращения</t>
  </si>
  <si>
    <t>Дата обращения за пособием</t>
  </si>
  <si>
    <t>2. Расчет среднедневного заработка</t>
  </si>
  <si>
    <t>Периоды, за которые рассчитывается пособие</t>
  </si>
  <si>
    <t>Положение действует с 21.12.2017 года</t>
  </si>
  <si>
    <t>2.2. по беременности и родам в связи с беременностью и родами, а также с усыновлением (удочерением) ребенка в возрасте до 3 месяцев либо установлением опеки над ребенком в возрасте до 3 месяцев.</t>
  </si>
  <si>
    <t>Право на пособия в соответствии с настоящим Положением имеют лица, работающие или осуществляющие иной вид деятельности, на которых распространяется государственное социальное страхование и за них, а также ими самими в предусмотренных законодательством о государственном социальном страховании случаях уплачиваются обязательные страховые взносы в бюджет государственного внебюджетного фонда социальной защиты населения Республики Беларусь (далее – бюджет фонда) на социальное страхование.</t>
  </si>
  <si>
    <t>4. Днем возникновения права на пособия является день, с которого лицо освобождается в соответствии с законодательством от работы или иной деятельности в связи с временной нетрудоспособностью, беременностью и родами, а также с усыновлением (удочерением) ребенка в возрасте до 3 месяцев либо установлением опеки над ребенком в возрасте до 3 месяцев согласно листку нетрудоспособности.</t>
  </si>
  <si>
    <t>Пособие по временной нетрудоспособности назначается со дня возникновения права на него, если обращение за назначением пособия последовало не позднее 6 месяцев со дня, следующего за днем окончания периода освобождения от работы или иной деятельности в связи с временной нетрудоспособностью.</t>
  </si>
  <si>
    <t>Расходы на доплату, указанную в части первой настоящего пункта, в части, превышающей ее размер, исчисленный в соответствии с пунктами 2–7 статьи 13 Закона, возмещаются в бюджет фонда из средств республиканского бюджета.</t>
  </si>
  <si>
    <t>Минимальный размер пособий за календарный месяц устанавливается в размере 50 процентов наибольшей величины бюджета прожиточного минимума в среднем на душу населения, утвержденного Министерством труда и социальной защиты, за два последних квартала относительно каждого календарного месяца освобождения от работы или иной деятельности согласно листку нетрудоспособности.</t>
  </si>
  <si>
    <t>Если размер выплаченного пособия по беременности и родам за период, удостоверенный листком (листками) нетрудоспособности, по всем местам его назначения в общей сложности ниже, чем размер пособия(й) по уходу за ребенком в возрасте до 3 лет, исчисленный в соответствии с пунктами 2–7 статьи 13 Закона и пунктом 40 Положения о порядке назначения и выплаты государственных пособий семьям, воспитывающим детей, утвержденного настоящим постановлением, за период со дня рождения ребенка (детей) по день, по который выплачено пособие по беременности и родам, производится доплата разницы между размерами указанных пособий (далее – доплата к пособию по беременности и родам).</t>
  </si>
  <si>
    <t>17. Пособия лицам, за которых или которыми в предусмотренных законодательством о государственном социальном страховании случаях обязательные страховые взносы в бюджет фонда на социальное страхование уплачивались менее чем за 6 месяцев в общей сложности до возникновения права на пособия (кроме пособия по временной нетрудоспособности в связи с заболеванием или травмой, назначаемого молодым специалистам и молодым рабочим (служащим), назначаются в минимальном размере, установленном в частях четвертой и пятой пункта 16 настоящего Положения.</t>
  </si>
  <si>
    <t>Исчисление периодов уплаты обязательных страховых взносов в бюджет фонда на социальное страхование для назначения пособий осуществляется в порядке, установленном для исчисления периодов работы, предпринимательской, творческой и иной деятельности для назначения пенсий.</t>
  </si>
  <si>
    <t>Работникам, принятым на работу к плательщику, назначающему пособия в расчетном периоде, и отработавшим расчетный период не полностью, размер среднедневного заработка для исчисления пособий определяется за фактически отработанное время, кроме работников, указанных в части первой пункта 23 настоящего Положения. При этом заработок для исчисления пособия по беременности и родам работникам за каждый полный календарный месяц расчетного периода при полной норме продолжительности рабочего времени учитывается в размере, не превышающем величину средней заработной платы работников в республике за соответствующий месяц.</t>
  </si>
  <si>
    <t>В число календарных дней расчетного периода, на которые делится заработок, не включаются календарные дни:</t>
  </si>
  <si>
    <t>24. В заработок для исчисления пособий работникам включаются виды оплаты труда (за исключением выплат, носящих единовременный характер), на которые в соответствии с законодательством начисляются обязательные страховые взносы в бюджет фонда.</t>
  </si>
  <si>
    <t>Премии и иные выплаты включаются в заработок за тот месяц, в котором они выплачены. Месяцем их выплаты считается месяц, на который они приходятся согласно лицевому счету, расчетной ведомости. Если из числа календарных дней месяца расчетного периода, в котором выплачены премии и иные выплаты, исключаются календарные дни освобождения от работы в соответствии с частью второй пункта 22 настоящего Положения и в этом месяце отработаны не все рабочие дни (часы) по графику работы работника, премии и иные выплаты включаются в заработок для исчисления пособий пропорционально отработанным рабочим дням (часам) в данном месяце.</t>
  </si>
  <si>
    <t>Если право на пособие по временной нетрудоспособности возникло у работника до дня объявления простоя, пособие исчисляется в общеустановленном порядке.</t>
  </si>
  <si>
    <t>30.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пособия назначаются плательщиком и выплачиваются в счет начисленных обязательных страховых взносов в бюджет фонда.</t>
  </si>
  <si>
    <t>Физическим лицам, являющимся собственниками имущества (участниками, членами, учредителями) юридических лиц и выполняющим функции руководителей этих юридических лиц, пособия назначаются и выплачиваются плательщиком с применением норм настоящего Положения, регулирующих порядок назначения и выплаты пособий работникам.</t>
  </si>
  <si>
    <t>Лицам, уплачивающим обязательные страховые взносы самостоятельно, а также выполняющим работы по гражданско-правовым договорам у физических лиц, пособия назначаются территориальными органами Фонда по месту постановки на учет в качестве плательщиков. Указанные лица уплачивают обязательные страховые взносы в бюджет фонда за вычетом сумм начисленных пособий.</t>
  </si>
  <si>
    <t>Доплата к пособию по беременности и родам производится в порядке, установленном в частях первой–четвертой настоящего пункта, по одному месту назначения пособия по беременности и родам после окончания периода, установленного листком (листками) нетрудоспособности по беременности и родам, при условии назначения матери или отцу (отчиму), другому родственнику или члену семьи ребенка (детей) пособия по уходу за ребенком в возрасте до 3 лет и обращения за ней в течение 6 месяцев со дня окончания указанного периода. При этом лицам, работающим по совместительству, доплата к пособию по беременности и родам производится по основному месту работы.</t>
  </si>
  <si>
    <t>Доплата к пособию по беременности и родам производится на основании заявления лица, получившего пособие по беременности и родам, по форме согласно приложению. Справка о периоде, за который выплачено пособие по беременности и родам (с указанием размера выплаченного пособия по беременности и родам и сведений о том, что доплата к пособию по беременности и родам не производилась), копия протокола заседания комиссии по назначению государственных пособий семьям, воспитывающим детей, и пособий по временной нетрудоспособности о назначении пособия по уходу за ребенком в возрасте до 3 лет или выписка из него и свидетельство о рождении ребенка (детей) при наличии другого(их) места (мест) назначения указанных пособий представляются лицом, обратившимся за доплатой к пособию по беременности и родам.</t>
  </si>
  <si>
    <t>31.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пособия назначаются по каждому месту работы.</t>
  </si>
  <si>
    <t>32. Работникам, а также лицам, работающим по гражданско-правовым договорам у юридических лиц, индивидуальных предпринимателей, нотариусов, осуществляющих нотариальную деятельность в нотариальном бюро, адвокатов, осуществляющих адвокатскую деятельность индивидуально, решение о назначении (отказе в назначении) пособия по временной нетрудоспособности в связи с травмой, уходом за ребенком-инвалидом в возрасте до 18 лет в случае его санаторно-курортного лечения, медицинской реабилитации, а также в соответствии с пунктами 9, 19, 35 настоящего Положения принимается комиссией по назначению пособий плательщика.</t>
  </si>
  <si>
    <t>33. В случаях, когда выплата пособий не может быть произведена плательщиком в связи с ликвидацией (прекращением деятельности), нахождением в процессе ликвидации (прекращения деятельности), проведением в отношении его процедуры экономической несостоятельности (банкротства), пособия, при наличии необходимых документов, назначаются и выплачиваются правопреемником или другим плательщиком, определяемым комиссией по назначению пособий территориального органа Фонда.</t>
  </si>
  <si>
    <t>Пособие по временной нетрудоспособности назначается после окончания временной нетрудоспособности, а также до ее окончания на основании листка нетрудоспособности, выданного в порядке, установленном законодательством.</t>
  </si>
  <si>
    <t>Виды оплаты труда, включаемые в заработок для исчисления пособий работникам</t>
  </si>
  <si>
    <t>сумма, руб.</t>
  </si>
  <si>
    <t>Количество отработанных дней (часов) в данном месяце</t>
  </si>
  <si>
    <t>Количество плановых дней (часов) по графику</t>
  </si>
  <si>
    <t>Расчетная сумма, руб.</t>
  </si>
  <si>
    <t>Предел</t>
  </si>
  <si>
    <t>Заработная плата, доплаты, надбавки</t>
  </si>
  <si>
    <t>Премия либо иные выплаты</t>
  </si>
  <si>
    <t xml:space="preserve">премия </t>
  </si>
  <si>
    <t xml:space="preserve">количество календарных дней в данном месяце </t>
  </si>
  <si>
    <t>утраты трудоспособности в связи с заболеванием или травмой в быту (далее – травма), проведения санитарно-противоэпидемических мероприятий;</t>
  </si>
  <si>
    <t>Лицам, самостоятельно уплачивающим обязательные страховые взносы в бюджет фонда на социальное страхование в соответствии с законодательством о государственном социальном страховании (далее – лица, уплачивающие обязательные страховые взносы самостоятельно), пособия назначаются по случаям временной нетрудоспособности, беременности и родов, наступившим:</t>
  </si>
  <si>
    <t>в году постановки их на учет в качестве плательщиков в городских, районных, районных в городах отделах (секторах) областных (Минского городского) управлений Фонда социальной защиты населения Министерства труда и социальной защиты (далее – территориальные органы Фонда), – если в этом году до наступления указанных случаев ими уплачены обязательные страховые взносы в бюджет фонда на социальное страхование не менее чем за 30 календарных дней;</t>
  </si>
  <si>
    <t>в текущем календарном году, – если согласно документам персонифицированного учета за отчетный год обязательные страховые взносы в бюджет фонда на социальное страхование уплачены ими не менее чем за 183 календарных дня отчетного года либо за весь период со дня постановки на учет до окончания отчетного года.</t>
  </si>
  <si>
    <t>5. Выплата пособий, в том числе доплаты разницы между размерами пособия по беременности и родам и пособия по уходу за ребенком в возрасте до 3 лет, установленной в пункте 7 статьи 9 Закона, производится за счет средств бюджета фонда.</t>
  </si>
  <si>
    <t>работающим в период указанного отпуска по основному (по другой должности служащего (профессии рабочего) или другому месту работы на условиях неполного рабочего времени (не более половины месячной нормы рабочего времени), пособие по временной нетрудоспособности назначается в соответствии с настоящим Положением. При этом в случае ухода за больным ребенком в возрасте до 3 лет пособие по временной нетрудоспособности назначается только лицу, находящемуся в отпуске по уходу за ним;</t>
  </si>
  <si>
    <t>9.4. за период нахождения под арестом, за время судебно-медицинской экспертизы, за время отстранения от работы в случаях, предусмотренных статьей 49 Трудового кодекса Республики Беларусь (кроме случаев отстранения от работы органами и учреждениями, осуществляющими государственный санитарный надзор, лиц, являющихся бактерионосителями, и в связи с проведением санитарно-противоэпидемических мероприятий), а также за период временного отстранения работника от должности в соответствии со статьей 131 Уголовно-процессуального кодекса Республики Беларусь;</t>
  </si>
  <si>
    <t>9.7. за период после прекращения работы по трудовому договору, на основе членства (участия) в юридических лицах любых организационно-правовых форм, по гражданско-правовому договору, предметом которого являются оказание услуг, выполнение работ и создание объектов интеллектуальной собственности (далее – гражданско-правовой договор), а также предпринимательской, творческой и иной деятельности в случаях, указанных в абзацах третьем–пятом подпункта 2.1 пункта 2 настоящего Положения;</t>
  </si>
  <si>
    <t>12. Ветеранам боевых действий на территории других государств и инвалидам боевых действий на территории других государств, указанным в пунктах 1–3 части первой статьи 3 и пунктах 2, 4 и 7 статьи 4 Закона Республики Беларусь от 17 апреля 1992 г. № 1594-XII «О ветеранах», их супругам, а также супругам военнослужащих, лиц начальствующего и рядового состава органов внутренних дел, погибших (умерших) при исполнении воинского или служебного долга в Афганистане либо в других государствах, где велись боевые действия (а равно пропавших без вести в районах ведения боевых действий), не вступившим в новый брак, в случае их направления в государственное учреждение здравоохранения «Витебский областной клинический центр медицинской реабилитации для инвалидов» в порядке, установленном законодательством, пособие по временной нетрудоспособности назначается на период пребывания в указанном учреждении, но не более чем на 24 календарных дня и на время проезда туда и обратно.</t>
  </si>
  <si>
    <t>15. Пособие по временной нетрудоспособности назначается на весь период отстранения от работы в связи с проведением санитарно-противоэпидемических мероприятий.</t>
  </si>
  <si>
    <t>Временная нетрудоспособность считается непрерывной (для исчисления пособия), если период освобождения от работы согласно листкам нетрудоспособности длится непрерывно и в указанный период не наступили обстоятельства, влияющие на размер пособия, или новый случай временной нетрудоспособности, указанный в пункте 2 настоящего Положения, либо случай временной нетрудоспособности в связи с заболеванием или травмой, не связанными с причиной инвалидности, после установления инвалидности.</t>
  </si>
  <si>
    <t>Лицам, за которых плательщиком обязательных страховых взносов в бюджет фонда (далее – плательщик), назначающим пособия, обязательные страховые взносы в бюджет фонда на социальное страхование уплачивались менее чем за 6 месяцев до возникновения права на пособия, недостающие периоды уплаты обязательных страховых взносов в бюджет фонда на социальное страхование подтверждаются сведениями (информацией), выдаваемыми территориальными органами Фонда. Порядок предоставления территориальными органами Фонда плательщику сведений о периодах уплаты обязательных страховых взносов в бюджет фонда на социальное страхование устанавливается правлением Фонда социальной защиты населения Министерства труда и социальной защиты (далее – Фонд).</t>
  </si>
  <si>
    <t>18.2. гражданам, пострадавшим от катастрофы на Чернобыльской АЭС, других радиационных аварий, указанным в пунктах 1 и 3 статьи 13, пунктах 1 статей 18 и 24–26 Закона Республики Беларусь от 6 января 2009 г. № 9-З «О социальной защите граждан, пострадавших от катастрофы на Чернобыльской АЭС, других радиационных аварий»;</t>
  </si>
  <si>
    <t>В случаях переподчинения, реорганизации, смены собственника имущества плательщика, перевода работника к другому плательщику в расчетном периоде или в месяце возникновения права на пособие по временной нетрудоспособности размер среднедневного заработка для исчисления пособия по временной нетрудоспособности определяется с учетом заработка за период работы до наступления указанных случаев на основании справки о размере заработной платы (денежного довольствия, ежемесячного денежного содержания), истребованной при необходимости плательщиком, назначающим пособие.</t>
  </si>
  <si>
    <t>Справка о размере заработной платы (денежного довольствия, ежемесячного денежного содержания) для исчисления пособия по беременности и родам за периоды работы, предшествующие периоду работы у плательщика, назначающего пособие, представляется лицом, обратившимся за пособием.</t>
  </si>
  <si>
    <t>До представления справки о размере заработной платы (денежного довольствия, ежемесячного денежного содержания) пособие по беременности и родам по желанию лица, обратившегося за пособием, исчисляется исходя из заработка за период работы у плательщика, назначающего пособие. При этом периоды работы, предшествующие периоду работы у плательщика, назначающего пособие, не исключаются из количества календарных дней, на которые делится заработок.</t>
  </si>
  <si>
    <t>Справка о размере заработной платы (денежного довольствия, ежемесячного денежного содержания), указанная в частях второй–четвертой настоящего пункта, оформляется с учетом норм пунктов 22 и 24 настоящего Положения.</t>
  </si>
  <si>
    <t>23. Если число календарных дней расчетного периода с учетом части второй пункта 22 настоящего Положения составляет менее 30 календарных дней, пособия исчисляются исходя из тарифной ставки (тарифного оклада), оклада, должностного оклада (без надбавок и повышений) работника, установленной(ого) на день возникновения права на пособия (далее – тарифная ставка (тарифный оклад), оклад, должностной оклад), или исходя из среднего заработка, сохраняемого за время трудового и социального (в связи с обучением) отпусков, отпуска по беременности и родам, временной нетрудоспособности (далее – средний заработок) (по более выгодному варианту).</t>
  </si>
  <si>
    <t>При исчислении пособий исходя из тарифной ставки (тарифного оклада), оклада, должностного оклада применяется ее (его) среднедневной размер, который определяется для каждого месяца, в котором имели место временная нетрудоспособность, отпуск по беременности и родам, путем деления размера тарифной ставки (тарифного оклада), оклада, должностного оклада на число календарных дней в данном месяце. При этом при исчислении пособия по беременности и родам работникам, принятым на работу к плательщику, назначающему пособия, в расчетном периоде и отработавшим расчетный период не полностью, тарифная ставка (тарифный оклад), оклад, должностной оклад при полной норме продолжительности рабочего времени применяется в размере, не превышающем величину средней заработной платы работников в республике за месяц, в котором возникло право на пособие.</t>
  </si>
  <si>
    <t>Заработок для исчисления пособий за каждый календарный месяц расчетного периода не может превышать сумму, на которую начисляются обязательные страховые взносы в бюджет фонда в соответствии с законодательством. Размер среднедневной тарифной ставки (тарифного оклада), оклада, должностного оклада и среднедневного заработка, применяемых при исчислении пособий в соответствии с частями второй и третьей пункта 23 настоящего Положения, не может превышать размера среднедневной предельной суммы выплат, на которую начисляются обязательные страховые взносы в бюджет фонда за работника в соответствии с законодательством, в месяце возникновения права на пособия.</t>
  </si>
  <si>
    <t>26. Лицам, уплачивающим обязательные страховые взносы самостоятельно, пособия исчисляются из размера среднедневного дохода за календарный год, предшествующий году, в котором возникло право на пособия.</t>
  </si>
  <si>
    <t>Для исчисления пособий принимается сумма дохода, с которой согласно документам персонифицированного учета уплачены обязательные страховые взносы в бюджет фонда на социальное страхование. Размер среднедневного дохода определяется путем деления суммы этого дохода на число календарных дней периода (периодов), указанных в документах персонифицированного учета, за которые уплачены обязательные страховые взносы в бюджет фонда на социальное страхование.</t>
  </si>
  <si>
    <t>28. В случае возникновения у работника права на пособие по временной нетрудоспособности в период после или в день объявления простоя за дни простоя с выплатой заработной платы в порядке, установленном законодательством, пособие по временной нетрудоспособности назначается в размерах, установленных в пунктах 16–19, 29 настоящего Положения, но не более размера сохраняемой заработной платы и не менее размера двух третей его тарифной ставки (тарифного оклада), оклада, должностного оклада. Со дня возобновления работы пособие по временной нетрудоспособности исчисляется без указанных ограничений.</t>
  </si>
  <si>
    <t>Число календарных дней, которые не включаются в календарные дни расчетного периода</t>
  </si>
  <si>
    <t>Календарное количество дней расчетного периода</t>
  </si>
  <si>
    <t>Среднедневной заработок для расчета пособия, руб.</t>
  </si>
  <si>
    <t>К выплате, руб.</t>
  </si>
  <si>
    <t>Сумма, руб.</t>
  </si>
  <si>
    <t xml:space="preserve">Количество календарных дней </t>
  </si>
  <si>
    <t>Максимальный размер, руб.</t>
  </si>
  <si>
    <t>(должностоне лицо)</t>
  </si>
  <si>
    <t>(подпись)</t>
  </si>
  <si>
    <t>(расшифровка подписи)</t>
  </si>
  <si>
    <t xml:space="preserve">Период нетрудоспособности с </t>
  </si>
  <si>
    <t xml:space="preserve">Сумма пособия  к выплате (руб.) </t>
  </si>
  <si>
    <t>Результаты расчета пособия по временной нетрудоспособности</t>
  </si>
  <si>
    <t xml:space="preserve">Информация о заработке, принимаемом к расчету пособия </t>
  </si>
  <si>
    <t>Календарное количество дней</t>
  </si>
  <si>
    <t>Сумма  фактического заработка, руб.</t>
  </si>
  <si>
    <t>Пособие по временной нетрудоспособности</t>
  </si>
  <si>
    <t>Период</t>
  </si>
  <si>
    <t>Количество календарных дней  нетрудоспособности</t>
  </si>
  <si>
    <t>Сумма расcчитанного пособия, руб.</t>
  </si>
  <si>
    <t>в размере, %</t>
  </si>
  <si>
    <t>Рассчитанная максимальная сумма пособия, руб.</t>
  </si>
  <si>
    <t xml:space="preserve">ВСЕГО к выплате сумма прописью, руб: </t>
  </si>
  <si>
    <t>Попов Леонид Петрович</t>
  </si>
  <si>
    <t>Ефимов Сергей Владимирович</t>
  </si>
  <si>
    <t>АБ</t>
  </si>
  <si>
    <t>тарифная ставка</t>
  </si>
  <si>
    <t>Главный бухгалтер</t>
  </si>
  <si>
    <t>Г.С.Степанова</t>
  </si>
  <si>
    <t>Голубой цвет обозначает, что заполнение данных ячеек происходит автоматически</t>
  </si>
  <si>
    <t>Начало временной нетрудоспособности</t>
  </si>
  <si>
    <t>УТВЕРЖДЕНО</t>
  </si>
  <si>
    <t xml:space="preserve">Постановление </t>
  </si>
  <si>
    <t xml:space="preserve">Совета Министров </t>
  </si>
  <si>
    <t>Республики Беларусь</t>
  </si>
  <si>
    <t>28.06.2013 № 569</t>
  </si>
  <si>
    <t>ПОЛОЖЕНИЕ</t>
  </si>
  <si>
    <t>о порядке обеспечения пособиями по временной нетрудоспособности и по беременности и родам</t>
  </si>
  <si>
    <t>ГЛАВА 1</t>
  </si>
  <si>
    <t>ОБЩИЕ ПОЛОЖЕНИЯ</t>
  </si>
  <si>
    <t>1. Настоящим Положением регулируется порядок обеспечения пособиями по временной нетрудоспособности (кроме пособий по временной нетрудоспособности в связи с несчастными случаями на производстве и профессиональными заболеваниями) и по беременности и родам (далее, если не определено иное, – пособия).</t>
  </si>
  <si>
    <t>2. В соответствии с настоящим Положением назначаются пособия:</t>
  </si>
  <si>
    <t>2.1. по временной нетрудоспособности в случаях:</t>
  </si>
  <si>
    <t>ухода за больным членом семьи, в том числе за больным ребенком в возрасте до 14 лет (ребенком-инвалидом в возрасте до 18 лет) (далее, если не определено иное, – уход за больным членом семьи);</t>
  </si>
  <si>
    <t>ухода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t>
  </si>
  <si>
    <t>ухода за ребенком-инвалидом в возрасте до 18 лет в случае его санаторно-курортного лечения, медицинской реабилитации;</t>
  </si>
  <si>
    <t>протезирования, осуществляемого в рамках оказания медицинской помощи в стационарных условиях протезно-ортопедической организации;</t>
  </si>
  <si>
    <t>Одновременно одному лицу не может назначаться более одного пособия, предусмотренного в подпунктах 2.1 и 2.2 настоящего пункта, по каждому месту работы.</t>
  </si>
  <si>
    <t>3. Пособия назначаются на основании листка нетрудоспособности, выданного и оформленного в порядке, установленном законодательством.</t>
  </si>
  <si>
    <t>Пособие по беременности и родам назначается, если обращение за ним последовало не позднее 6 месяцев со дня возникновения права на пособие.</t>
  </si>
  <si>
    <t>Пособия не назначаются при обращении за ними по истечении сроков, указанных в частях второй и третьей настоящего пункта.</t>
  </si>
  <si>
    <t>ГЛАВА 2</t>
  </si>
  <si>
    <t>ПРАВО НА ПОСОБИЯ В ОТДЕЛЬНЫХ СЛУЧАЯХ. ПЕРИОД, НА КОТОРЫЙ НАЗНАЧАЮТСЯ ПОСОБИЯ</t>
  </si>
  <si>
    <t>6. Лицам, работающим по трудовым договорам, на основе членства (участия) в юридических лицах любых организационно-правовых форм (далее – работники), находящимся в трудовом отпуске, пособия назначаются в случае наступления у них в период указанного отпуска временной нетрудоспособности (кроме случаев ухода за больным членом семьи;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 за ребенком-инвалидом в возрасте до 18 лет в случае его санаторно-курортного лечения, медицинской реабилитации), отпуска по беременности и родам.</t>
  </si>
  <si>
    <t>Трудовой отпуск в случаях, указанных в части первой настоящего пункта, продлевается (переносится) в порядке, установленном законодательством.</t>
  </si>
  <si>
    <t>7. Работникам, находящимся в отпуске по уходу за ребенком до достижения им возраста трех лет:</t>
  </si>
  <si>
    <t>пособие по временной нетрудоспособности не назначается, за исключением случаев, указанных в абзаце третьем настоящего пункта;</t>
  </si>
  <si>
    <t>пособие по беременности и родам назначается в соответствии с законодательством.</t>
  </si>
  <si>
    <t>8. Лицам, у которых временная нетрудоспособность в связи с заболеванием или травмой продолжительностью более 30 календарных дней или право на пособие по беременности и родам наступили в течение 30 календарных дней после прекращения трудового договора (кроме трудового договора о работе по совместительству) по уважительным причинам, пособия в порядке исключения назначаются комиссией по назначению пособий областных (Минского городского) управлений Фонда социальной защиты населения Министерства труда и социальной защиты (далее – комиссия по назначению пособий территориального органа Фонда).</t>
  </si>
  <si>
    <t>На период, за который производится выплата пенсии, в случае, указанном в части первой настоящего пункта, пособие по временной нетрудоспособности не назначается.</t>
  </si>
  <si>
    <t>Лицам, зарегистрированным в установленном порядке в качестве безработных, которым пособие по беременности и родам выплачено органом по труду, занятости и социальной защите в случае, указанном в части первой настоящего пункта, пособие по беременности и родам не назначается.</t>
  </si>
  <si>
    <t>9. Пособие по временной нетрудоспособности не назначается:</t>
  </si>
  <si>
    <t>9.1. в случае умышленного причинения вреда своему здоровью в целях уклонения от работы или от других обязанностей;</t>
  </si>
  <si>
    <t>9.2. в случае, если временная нетрудоспособность наступила в связи с травмой, полученной при совершении преступления;</t>
  </si>
  <si>
    <t xml:space="preserve">Начисленная средняя заработная плата работников
в Республике Беларусь </t>
  </si>
  <si>
    <t>9.3. за время принудительного лечения по решению суда (кроме лиц, страдающих психическими расстройствами (заболеваниями), нахождения граждан в лечебно-трудовых профилакториях;</t>
  </si>
  <si>
    <t>9.5. за период, за который начислялась заработная плата, а также сохранялся средний заработок полностью или частично в соответствии с законодательством, кроме периодов простоя, оплачиваемых в соответствии со статьей 71 Трудового кодекса Республики Беларусь, трудового отпуска и служебной командировки;</t>
  </si>
  <si>
    <t>9.6. за период отпуска без сохранения заработной платы;</t>
  </si>
  <si>
    <t>9.8. за время спора о законности увольнения (в случае восстановления на работе пособие по временной нетрудоспособности выплачивается со дня вынесения решения о восстановлении на работе).</t>
  </si>
  <si>
    <t>10. Пособие по временной нетрудоспособности в случае заболевания или травмы назначается на весь период временной нетрудоспособности до дня ее восстановления или установления инвалидности, но не более чем на 120 календарных дней непрерывно либо не более чем на 150 календарных дней с перерывами за последние 12 месяцев при повторных случаях временной нетрудоспособности в связи с одним либо родственными заболеваниями или травмой, а в связи с заболеванием туберкулезом – не более чем на 180 календарных дней непрерывно или не более чем на 240 календарных дней с перерывами за последние 12 месяцев.</t>
  </si>
  <si>
    <t>Назначение пособия по временной нетрудоспособности на более длительные периоды производится на основании решения медико-реабилитационной экспертной комиссии о продлении лечения.</t>
  </si>
  <si>
    <t>11. Пособие по временной нетрудоспособности лицам, являющимся инвалидами (кроме лиц, указанных в части второй настоящего пункта), в случае заболевания или травмы, связанных с причиной инвалидности, назначается на период временной нетрудоспособности в связи с указанным заболеванием или травмой, но не более чем на 60 календарных дней непрерывно или не более чем на 90 календарных дней с перерывами в календарном году.</t>
  </si>
  <si>
    <t>Пособие по временной нетрудоспособности лицам, являющимся инвалидами, в случае заболевания или травмы, связанных с причиной инвалидности, назначается на период временной нетрудоспособности в связи с указанным заболеванием или травмой, но не более чем на 120 календарных дней непрерывно или не более чем на 150 календарных дней с перерывами в календарном году:</t>
  </si>
  <si>
    <t>инвалидам Великой Отечественной войны и инвалидам боевых действий на территории других государств;</t>
  </si>
  <si>
    <t>участникам Великой Отечественной войны;</t>
  </si>
  <si>
    <t>гражданам, в том числе уволенным в запас (отставку), из числа военнослужащих, лиц начальствующего и рядового состава Следственного комитета, Государственного комитета судебных экспертиз, органов внутренних дел, органов и подразделений по чрезвычайным ситуациям, органов финансовых расследований Комитета государственного контроля, ставших инвалидами вследствие ранения, контузии, увечья или заболевания, полученных при исполнении обязанностей военной службы (служебных обязанностей), кроме случаев, когда инвалидность наступила в результате противоправных действий, по причине алкогольного, наркотического, токсического опьянения, членовредительства;</t>
  </si>
  <si>
    <t>лицам, принимавшим участие в составе специальных формирований в разминировании территорий и объектов после освобождения от немецкой оккупации в 1943–1945 годах;</t>
  </si>
  <si>
    <t>инвалидам, в отношении которых установлена причинная связь увечья или заболевания, приведших к инвалидности, с катастрофой на Чернобыльской АЭС, другими радиационными авариями;</t>
  </si>
  <si>
    <t>лицам, признанным инвалидами вследствие заболевания туберкулезом.</t>
  </si>
  <si>
    <t>Пособие по временной нетрудоспособности лицам, являющимся инвалидами, в случае заболевания или травмы, не связанных с причиной инвалидности, назначается на периоды, установленные в пункте 10 настоящего Положения.</t>
  </si>
  <si>
    <t>13. Пособие по временной нетрудоспособности по уходу за больным членом семьи, достигшим 14 лет, при оказании медицинской помощи в амбулаторных условиях назначается лицу, осуществляющему уход за указанным членом семьи, но не более чем на 7 календарных дней по одному случаю заболевания или травмы.</t>
  </si>
  <si>
    <t>14. Пособие по временной нетрудоспособности в случае протезирования при оказании медицинской помощи в стационарных условиях протезно-ортопедической организации назначается на весь период нахождения в указанном стационаре и на время проезда туда и обратно.</t>
  </si>
  <si>
    <t>ГЛАВА 3</t>
  </si>
  <si>
    <t>РАЗМЕРЫ ПОСОБИЙ И ПОРЯДОК ИХ ИСЧИСЛЕНИЯ</t>
  </si>
  <si>
    <t>16. Пособие по временной нетрудоспособности, кроме пособия по временной нетрудоспособности лицам, указанным в пункте 18 настоящего Положения, назначается в размере 80 процентов среднедневного заработка за первые 12 календарных дней нетрудоспособности и в размере 100 процентов среднедневного заработка за последующие календарные дни непрерывной временной нетрудоспособности.</t>
  </si>
  <si>
    <t>Пособие по беременности и родам назначается в размере 100 процентов среднедневного заработка за календарные дни, удостоверенные листком нетрудоспособности.</t>
  </si>
  <si>
    <t>Минимальный размер пособий за неполный месяц определяется в размере величины, получаемой путем деления минимального размера пособия, указанного в части четвертой настоящего пункта,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беременностью и родами согласно листку нетрудоспособности в этом месяце.</t>
  </si>
  <si>
    <t>18. Пособие по временной нетрудоспособности назначается в размере 100 процентов среднедневного заработка за календарные дни, удостоверенные листком нетрудоспособности:</t>
  </si>
  <si>
    <t>18.1. инвалидам Великой Отечественной войны, инвалидам боевых действий на территории других государств, участникам Великой Отечественной войны, а также лицам, указанным в части второй статьи 12 и части второй статьи 13 Закона Республики Беларусь «О ветеранах»;</t>
  </si>
  <si>
    <t>(должностное лицо)</t>
  </si>
  <si>
    <t>Минимальный размер пособия, руб.</t>
  </si>
  <si>
    <t>18.3. донорам, сдавшим кровь (мужчины – не менее четырех донаций, женщины – не менее трех донаций) и ее компоненты (не менее 14 донаций) в течение 12 месяцев, предшествующих дню наступления временной нетрудоспособности (независимо от причины ее наступления);</t>
  </si>
  <si>
    <t>18.4. живым донорам на период временной нетрудоспособности, наступившей в связи с забором у них органов и (или) тканей человека;</t>
  </si>
  <si>
    <t>18.5. лицам, осуществляющим уход за больным ребенком в возрасте до 14 лет при оказании медицинской помощи в амбулаторных условиях и за больным ребенком в возрасте до 14 лет (ребенком-инвалидом в возрасте до 18 лет) при оказании медицинской помощи в стационарных условиях, за ребенком в возрасте до 3 лет и ребенком-инвалидом в возрасте до 18 лет в случае болезни матери либо другого лица, фактически осуществляющего уход за ребенком, а также за ребенком-инвалидом в возрасте до 18 лет в случае его санаторно-курортного лечения, медицинской реабилитации.</t>
  </si>
  <si>
    <t>19. Пособие по временной нетрудоспособности назначается в размере 50 процентов от пособия, исчисленного в соответствии с частью первой пункта 16, пунктами 18 и 20 настоящего Положения, в случаях:</t>
  </si>
  <si>
    <t>19.1. заболевания или травмы, причиной которого(ой) явилось потребление алкоголя, наркотических средств, психотропных веществ, их аналогов, токсических или других одурманивающих веществ. При этом за первые 6 календарных дней временной нетрудоспособности пособие не назначается;</t>
  </si>
  <si>
    <t>19.2. нарушения режима, предписанного врачом, – со дня его нарушения на срок, устанавливаемый комиссией по назначению государственных пособий семьям, воспитывающим детей, и пособий по временной нетрудоспособности, создаваемой плательщиком (далее – комиссия по назначению пособий плательщика);</t>
  </si>
  <si>
    <t>19.3. наступления временной нетрудоспособности в период прогула без уважительной причины.</t>
  </si>
  <si>
    <t>Бюджет прожиточного минимума в среднем на душу населения</t>
  </si>
  <si>
    <t>20. Лицам, указанным в пункте 8 настоящего Положения, пособия назначаются в размере 70 процентов размера среднедневного заработка с учетом норм пункта 10, частей четвертой и пятой пункта 16, пунктов 17, 19, 21–25, 29 настоящего Положения.</t>
  </si>
  <si>
    <t>21. Размер среднедневного заработка для исчисления пособий работникам определяется за 6 календарных месяцев, предшествующих месяцу, в котором возникло право на пособия (далее – расчетный период). При этом размер среднедневного заработка для исчисления пособия по временной нетрудоспособности исчисляется исходя из заработка за период работы у плательщика, назначающего пособие.</t>
  </si>
  <si>
    <t>22. Размер среднедневного заработка определяется путем деления суммы заработка, учитываемого для исчисления пособий в порядке, установленном в пункте 24 настоящего Положения, за расчетный период на число календарных дней этого периода.</t>
  </si>
  <si>
    <t>трудового и социального отпусков;</t>
  </si>
  <si>
    <t>временной нетрудоспособности;</t>
  </si>
  <si>
    <t>простоя не по вине работника;</t>
  </si>
  <si>
    <t>освобождения от работы в соответствии с законодательством в других случаях.</t>
  </si>
  <si>
    <t>При исчислении пособий исходя из среднего заработка применяется размер среднедневного заработка, определенный для соответствующей выплаты в порядке, установленном законодательством. Если работнику производилось несколько таких выплат, пособия исчисляются из более высокого размера среднедневного заработка.</t>
  </si>
  <si>
    <t>Заработная плата, надбавки и доплаты к ней включаются в заработок того месяца, за который они начислены.</t>
  </si>
  <si>
    <t>Выплаты, произведенные за периоды, исключаемые при определении среднедневного заработка согласно части второй пункта 22 настоящего Положения, а также выплаты, право на которые не утрачивается работником в связи с временной нетрудоспособностью, беременностью и родами, в заработок для исчисления пособий не включаются.</t>
  </si>
  <si>
    <t>25. Размер пособия по временной нетрудоспособности исчисляется путем умножения размера среднедневного заработка с учетом положений части первой пункта 16 и пункта 20 настоящего Положения, на число календарных дней, удостоверенных листком нетрудоспособности (за исключением периодов, указанных в подпунктах 9.3–9.8 пункта 9 настоящего Положения).</t>
  </si>
  <si>
    <t>Размер пособия по беременности и родам исчисляется путем умножения размера среднедневного заработка на число календарных дней, удостоверенных листком нетрудоспособности (за исключением периодов, за которые начислялась заработная плата или сохранялся средний заработок в соответствии с законодательством).</t>
  </si>
  <si>
    <t>Пособия исчисляются за календарные дни в размерах, установленных в пунктах 16–19 настоящего Положения.</t>
  </si>
  <si>
    <t>Размер пособия по временной нетрудоспособности не должен превышать максимальный размер пособия, установленный в пункте 29 настоящего Положения.</t>
  </si>
  <si>
    <t>Размер пособия по беременности и родам не должен превышать суммы обязательных страховых взносов, уплаченных в бюджет фонда за период, за который определяется среднедневной доход. При этом если исчисленный размер пособия по беременности и родам составляет менее минимального размера, установленного в частях четвертой и пятой пункта 16 настоящего Положения, пособие по беременности и родам назначается в минимальном размере.</t>
  </si>
  <si>
    <t>27. Лицам, выполняющим работы по гражданско-правовому договору, пособия исчисляются из размера среднедневного вознаграждения, с которого уплачены обязательные страховые взносы в бюджет фонда (далее – вознаграждение), выплаченного по этому договору до возникновения права на пособия. Если до возникновения права на пособия вознаграждение по гражданско-правовому договору не выплачено, пособия исчисляются из размера среднедневного первого вознаграждения по данному договору, выплаченного после возникновения права на пособия.</t>
  </si>
  <si>
    <t>Размер среднедневного вознаграждения для исчисления пособий определяется путем деления суммы вознаграждения на число календарных дней периода выполнения работ по гражданско-правовому договору, за который выплачено вознаграждение.</t>
  </si>
  <si>
    <t>Размер пособия по беременности и родам не должен превышать суммы обязательных страховых взносов, уплаченных в бюджет фонда с вознаграждения, из которого исчислялось пособие. При этом если исчисленный размер пособия по беременности и родам составляет менее минимального размера, установленного в частях четвертой и пятой пункта 16 настоящего Положения, пособие по беременности и родам назначается в минимальном размере.</t>
  </si>
  <si>
    <t>29. Максимальный размер пособий, исчисленных в соответствии с настоящим Положением, кроме пособий по беременности и родам, исчисленных в соответствии с частью пятой пункта 26 и частью пятой пункта 27 настоящего Положения, за календарный месяц по каждому месту работы устанавливается в размере трехкратной величины средней заработной платы работников в республике в месяце, предшествующем месяцу, в котором возникло право на пособия.</t>
  </si>
  <si>
    <t>Максимальный размер пособий за неполный календарный месяц определяется в размере величины, получаемой путем деления трехкратной величины средней заработной платы работников в республике в месяце, предшествующем месяцу, в котором возникло право на пособия, на количество календарных дней данного месяца с последующим умножением полученного результата на количество календарных дней освобождения от работы в связи с временной нетрудоспособностью, беременностью и родами согласно листку нетрудоспособности в этом месяце.</t>
  </si>
  <si>
    <t>ГЛАВА 4</t>
  </si>
  <si>
    <t>ПОРЯДОК НАЗНАЧЕНИЯ И ВЫПЛАТЫ ПОСОБИЙ</t>
  </si>
  <si>
    <t>Если суммы подлежащих уплате обязательных страховых взносов в бюджет фонда недостаточно для выплаты пособий, финансирование расходов на их выплату производится в порядке, установленном правлением Фонда.</t>
  </si>
  <si>
    <t>Лицам, уплачивающим обязательные страховые взносы самостоятельно, которые одновременно работают по трудовым договорам, на основе членства (участия) в юридических лицах любых организационно-правовых форм, а также по гражданско-правовым договорам, пособия назначаются территориальными органами Фонда по месту постановки на учет в качестве плательщиков и по каждому месту работы.</t>
  </si>
  <si>
    <t>В случае прекращения работы по трудовому договору, на основе членства (участия) в юридических лицах любых организационно-правовых форм, по гражданско-правовому договору, а также предпринимательской, творческой и иной деятельности, в период которых у лица возникло право на пособия, пособия на периоды, продолжительность которых установлена настоящим Положением, назначаются и выплачиваются в порядке, предусмотренном в пункте 30 настоящего Положения.</t>
  </si>
  <si>
    <t>34. Пособия, назначенные в соответствии с пунктом 8 настоящего Положения, выплачиваются по месту прежней работы или плательщиком, определяемым комиссией по назначению пособий территориального органа Фонда.</t>
  </si>
  <si>
    <t>35. Суммы пособий, причитавшиеся получателю и оставшиеся недополученными в связи с его смертью, назначаются по день его смерти членам семьи, проживавшим совместно с ним на день смерти, а также нетрудоспособным иждивенцам независимо от того, проживали ли они совместно с умершим, и выплачиваются им в равных долях.</t>
  </si>
  <si>
    <t>Требования о выплате недополученных сумм пособий могут быть предъявлены в течение шести месяцев со дня смерти получателя.</t>
  </si>
  <si>
    <t>При отсутствии лиц, указанных в части первой настоящего пункта, или непредъявлении требований о выплате недополученных сумм пособий в установленный срок эти суммы включаются в состав наследства и наследуются в порядке, установленном гражданским законодательством.</t>
  </si>
  <si>
    <t>36. Пособия назначаются в течение 10 дней со дня обращения, а в случае запроса либо представления документов и (или) сведений от других государственных органов, иных организаций и (или) получения дополнительной информации, необходимой для назначения пособия, – в течение 1 месяца.</t>
  </si>
  <si>
    <t>Выплата пособий, кроме пособий, назначенных лицам, указанным в части первой пункта 26 настоящего Положения, осуществляется в дни, установленные для выплаты заработной платы.</t>
  </si>
  <si>
    <t>Пособие по беременности и родам выплачивается единовременно за весь период, удостоверенный листком нетрудоспособности.</t>
  </si>
  <si>
    <t>37. Контроль за правильностью расходования плательщиками средств государственного социального страхования на выплату пособий осуществляется в порядке, установленном законодательством.</t>
  </si>
  <si>
    <t>38. Не принимаются к зачету в счет обязательных страховых взносов в бюджет фонда расходы на выплату пособий в случаях:</t>
  </si>
  <si>
    <t>исчисления пособий с нарушением законодательства;</t>
  </si>
  <si>
    <t>ноль для копеек</t>
  </si>
  <si>
    <t xml:space="preserve"> копейка</t>
  </si>
  <si>
    <t xml:space="preserve"> белорусский рубль</t>
  </si>
  <si>
    <t xml:space="preserve"> копейки</t>
  </si>
  <si>
    <t xml:space="preserve"> белорусских рубля</t>
  </si>
  <si>
    <t xml:space="preserve"> копеек</t>
  </si>
  <si>
    <t xml:space="preserve"> белорусских рублей</t>
  </si>
  <si>
    <t>исчисления пособий на основании листков нетрудоспособности, оформленных с нарушением установленных требований;</t>
  </si>
  <si>
    <t>завышения плательщиком размеров пособий.</t>
  </si>
  <si>
    <t>39. Излишне выплаченные суммы пособий (вследствие представления документов с заведомо недостоверными сведениями, непредставления либо несвоевременного представления сведений о наступлении обстоятельств, влияющих на право получения пособий или на их размер, а также вследствие иных переплат) подлежат возврату получателем пособия.</t>
  </si>
  <si>
    <t>В случае отказа получателя пособия от возврата излишне выплаченных сумм пособий в добровольном порядке на основании решения комиссии по назначению пособий плательщика их удержание производится ежемесячно до полного погашения задолженности из сумм пособий, заработной платы или иного дохода в размере не более 20 процентов от суммы пособий в месяц. При прекращении выплаты пособий, заработной платы или иного дохода оставшаяся задолженность взыскивается с получателя пособия в судебном порядке.</t>
  </si>
  <si>
    <t>Другие удержания из пособий производятся в случаях, установленных законодательством.</t>
  </si>
  <si>
    <t>40. Решения по назначению пособий могут быть обжалованы в территориальные органы Фонда по месту постановки плательщика на учет.</t>
  </si>
  <si>
    <t>Решения по назначению пособий, принятые территориальными органами Фонда, могут быть обжалованы в вышестоящий орган Фонда.</t>
  </si>
  <si>
    <t>В случае несогласия с решениями, принятыми органами, указанными в частях первой и второй настоящего пункта, спор разрешается в судебном порядке.</t>
  </si>
  <si>
    <t>Короленко Елена Владимировна</t>
  </si>
  <si>
    <t xml:space="preserve">    Расчет пособия по временной нетрудоспособности производится в соответствии с Положением о порядке обеспечения пособиями по временной нетрудоспособности и по беременности и родам, утвержденным постановлением Совета Министров РБ от 28.06.2013 № 569. </t>
  </si>
  <si>
    <t xml:space="preserve">    В ячейках с голубым цветом содержатся формулы - это обозначает, что заполнение данных ячеек происходит автоматически. Не рекомендуется удалять информацию из данных ячеек! Заполнять необходимо незакрашенные ячейки.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</si>
</sst>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419]mmmm;@"/>
    <numFmt numFmtId="174" formatCode="_-* #,##0_р_._-;\-* #,##0_р_._-;_-* &quot;-&quot;??_р_._-;_-@_-"/>
    <numFmt numFmtId="175" formatCode="[$-419]mmmm\ yyyy;@"/>
    <numFmt numFmtId="176" formatCode="d\ mmmm\,\ yyyy"/>
    <numFmt numFmtId="177" formatCode="_-* #,##0.00[$р.-419]_-;\-* #,##0.00[$р.-419]_-;_-* &quot;-&quot;??[$р.-419]_-;_-@_-"/>
    <numFmt numFmtId="178" formatCode="_-* #,##0.00_р_._-;\-* #,##0.00_р_._-;_-* &quot;-&quot;_р_._-;_-@_-"/>
  </numFmts>
  <fonts count="76">
    <font>
      <sz val="10"/>
      <name val="Arial Cyr"/>
      <family val="0"/>
    </font>
    <font>
      <u val="single"/>
      <sz val="10"/>
      <color indexed="12"/>
      <name val="Arial Cyr"/>
      <family val="0"/>
    </font>
    <font>
      <u val="single"/>
      <sz val="10"/>
      <color indexed="20"/>
      <name val="Arial Cyr"/>
      <family val="0"/>
    </font>
    <font>
      <sz val="8"/>
      <name val="Tahoma"/>
      <family val="2"/>
    </font>
    <font>
      <b/>
      <sz val="8"/>
      <name val="Tahoma"/>
      <family val="2"/>
    </font>
    <font>
      <b/>
      <sz val="8"/>
      <color indexed="12"/>
      <name val="Tahoma"/>
      <family val="2"/>
    </font>
    <font>
      <sz val="8"/>
      <color indexed="10"/>
      <name val="Tahoma"/>
      <family val="2"/>
    </font>
    <font>
      <sz val="8"/>
      <name val="Arial Cyr"/>
      <family val="0"/>
    </font>
    <font>
      <sz val="10"/>
      <name val="Tahoma"/>
      <family val="2"/>
    </font>
    <font>
      <sz val="12"/>
      <color indexed="8"/>
      <name val="B_info"/>
      <family val="2"/>
    </font>
    <font>
      <sz val="12"/>
      <color indexed="9"/>
      <name val="B_info"/>
      <family val="2"/>
    </font>
    <font>
      <sz val="12"/>
      <color indexed="62"/>
      <name val="B_info"/>
      <family val="2"/>
    </font>
    <font>
      <b/>
      <sz val="12"/>
      <color indexed="63"/>
      <name val="B_info"/>
      <family val="2"/>
    </font>
    <font>
      <b/>
      <sz val="12"/>
      <color indexed="52"/>
      <name val="B_info"/>
      <family val="2"/>
    </font>
    <font>
      <b/>
      <sz val="15"/>
      <color indexed="56"/>
      <name val="B_info"/>
      <family val="2"/>
    </font>
    <font>
      <b/>
      <sz val="13"/>
      <color indexed="56"/>
      <name val="B_info"/>
      <family val="2"/>
    </font>
    <font>
      <b/>
      <sz val="11"/>
      <color indexed="56"/>
      <name val="B_info"/>
      <family val="2"/>
    </font>
    <font>
      <b/>
      <sz val="12"/>
      <color indexed="8"/>
      <name val="B_info"/>
      <family val="2"/>
    </font>
    <font>
      <b/>
      <sz val="12"/>
      <color indexed="9"/>
      <name val="B_info"/>
      <family val="2"/>
    </font>
    <font>
      <b/>
      <sz val="18"/>
      <color indexed="56"/>
      <name val="Cambria"/>
      <family val="2"/>
    </font>
    <font>
      <sz val="12"/>
      <color indexed="60"/>
      <name val="B_info"/>
      <family val="2"/>
    </font>
    <font>
      <sz val="10"/>
      <name val="Arial"/>
      <family val="2"/>
    </font>
    <font>
      <sz val="12"/>
      <color indexed="20"/>
      <name val="B_info"/>
      <family val="2"/>
    </font>
    <font>
      <i/>
      <sz val="12"/>
      <color indexed="23"/>
      <name val="B_info"/>
      <family val="2"/>
    </font>
    <font>
      <sz val="12"/>
      <color indexed="52"/>
      <name val="B_info"/>
      <family val="2"/>
    </font>
    <font>
      <sz val="12"/>
      <color indexed="10"/>
      <name val="B_info"/>
      <family val="2"/>
    </font>
    <font>
      <sz val="12"/>
      <color indexed="17"/>
      <name val="B_info"/>
      <family val="2"/>
    </font>
    <font>
      <sz val="10"/>
      <name val="Times New Roman CYR"/>
      <family val="1"/>
    </font>
    <font>
      <sz val="11"/>
      <color indexed="8"/>
      <name val="Calibri"/>
      <family val="2"/>
    </font>
    <font>
      <b/>
      <sz val="11"/>
      <name val="Times New Roman CYR"/>
      <family val="1"/>
    </font>
    <font>
      <b/>
      <sz val="9"/>
      <name val="Times New Roman CYR"/>
      <family val="1"/>
    </font>
    <font>
      <sz val="8"/>
      <name val="Times New Roman CYR"/>
      <family val="1"/>
    </font>
    <font>
      <sz val="9"/>
      <name val="Times New Roman CYR"/>
      <family val="1"/>
    </font>
    <font>
      <i/>
      <sz val="8"/>
      <name val="Times New Roman CYR"/>
      <family val="1"/>
    </font>
    <font>
      <sz val="9"/>
      <name val="Times New Roman"/>
      <family val="1"/>
    </font>
    <font>
      <b/>
      <sz val="8"/>
      <color indexed="10"/>
      <name val="Tahoma"/>
      <family val="2"/>
    </font>
    <font>
      <b/>
      <sz val="8"/>
      <color indexed="8"/>
      <name val="Tahoma"/>
      <family val="2"/>
    </font>
    <font>
      <sz val="8"/>
      <color indexed="8"/>
      <name val="Tahoma"/>
      <family val="2"/>
    </font>
    <font>
      <sz val="8"/>
      <color indexed="9"/>
      <name val="Tahoma"/>
      <family val="2"/>
    </font>
    <font>
      <sz val="7"/>
      <color indexed="8"/>
      <name val="Tahoma"/>
      <family val="2"/>
    </font>
    <font>
      <sz val="7"/>
      <name val="Tahoma"/>
      <family val="2"/>
    </font>
    <font>
      <b/>
      <sz val="8"/>
      <color indexed="48"/>
      <name val="Tahoma"/>
      <family val="2"/>
    </font>
    <font>
      <sz val="8"/>
      <color indexed="48"/>
      <name val="Tahoma"/>
      <family val="2"/>
    </font>
    <font>
      <b/>
      <sz val="10"/>
      <name val="Tahoma"/>
      <family val="2"/>
    </font>
    <font>
      <b/>
      <sz val="10"/>
      <color indexed="48"/>
      <name val="Tahoma"/>
      <family val="2"/>
    </font>
    <font>
      <b/>
      <sz val="12"/>
      <color indexed="48"/>
      <name val="Tahoma"/>
      <family val="2"/>
    </font>
    <font>
      <sz val="8"/>
      <color indexed="43"/>
      <name val="Tahoma"/>
      <family val="2"/>
    </font>
    <font>
      <b/>
      <sz val="12"/>
      <name val="Tahoma"/>
      <family val="2"/>
    </font>
    <font>
      <sz val="6"/>
      <color indexed="43"/>
      <name val="Tahoma"/>
      <family val="2"/>
    </font>
    <font>
      <b/>
      <sz val="6"/>
      <color indexed="43"/>
      <name val="Tahoma"/>
      <family val="2"/>
    </font>
    <font>
      <b/>
      <sz val="8"/>
      <color indexed="43"/>
      <name val="Tahoma"/>
      <family val="2"/>
    </font>
    <font>
      <sz val="9"/>
      <color indexed="43"/>
      <name val="Tahoma"/>
      <family val="2"/>
    </font>
    <font>
      <b/>
      <sz val="9"/>
      <color indexed="43"/>
      <name val="Tahoma"/>
      <family val="2"/>
    </font>
    <font>
      <b/>
      <sz val="8"/>
      <color indexed="9"/>
      <name val="Tahoma"/>
      <family val="2"/>
    </font>
    <font>
      <sz val="10"/>
      <color indexed="43"/>
      <name val="Tahoma"/>
      <family val="2"/>
    </font>
    <font>
      <sz val="11"/>
      <color indexed="43"/>
      <name val="Times New Roman"/>
      <family val="1"/>
    </font>
    <font>
      <sz val="10"/>
      <color indexed="43"/>
      <name val="Arial Cyr"/>
      <family val="0"/>
    </font>
    <font>
      <sz val="12"/>
      <color indexed="43"/>
      <name val="Times New Roman"/>
      <family val="1"/>
    </font>
    <font>
      <sz val="11"/>
      <color indexed="43"/>
      <name val="Calibri"/>
      <family val="2"/>
    </font>
    <font>
      <b/>
      <sz val="11"/>
      <color indexed="43"/>
      <name val="Times New Roman"/>
      <family val="1"/>
    </font>
    <font>
      <i/>
      <sz val="8"/>
      <color indexed="43"/>
      <name val="Tahoma"/>
      <family val="2"/>
    </font>
    <font>
      <b/>
      <sz val="12"/>
      <color indexed="43"/>
      <name val="Arial Cyr"/>
      <family val="2"/>
    </font>
    <font>
      <sz val="8"/>
      <color indexed="43"/>
      <name val="Arial Cyr"/>
      <family val="2"/>
    </font>
    <font>
      <b/>
      <sz val="10"/>
      <color indexed="43"/>
      <name val="Arial Cyr"/>
      <family val="0"/>
    </font>
    <font>
      <sz val="10"/>
      <color indexed="43"/>
      <name val="Times New Roman"/>
      <family val="1"/>
    </font>
    <font>
      <u val="single"/>
      <sz val="10"/>
      <color indexed="43"/>
      <name val="Arial Cyr"/>
      <family val="0"/>
    </font>
    <font>
      <sz val="10"/>
      <name val="Helv"/>
      <family val="2"/>
    </font>
    <font>
      <b/>
      <i/>
      <sz val="8"/>
      <color indexed="43"/>
      <name val="Tahoma"/>
      <family val="2"/>
    </font>
    <font>
      <sz val="11"/>
      <color indexed="10"/>
      <name val="Times New Roman"/>
      <family val="1"/>
    </font>
    <font>
      <b/>
      <sz val="11"/>
      <color indexed="10"/>
      <name val="Times New Roman"/>
      <family val="1"/>
    </font>
    <font>
      <b/>
      <i/>
      <sz val="9"/>
      <color indexed="43"/>
      <name val="Tahoma"/>
      <family val="2"/>
    </font>
    <font>
      <b/>
      <i/>
      <sz val="8"/>
      <color indexed="10"/>
      <name val="Tahoma"/>
      <family val="2"/>
    </font>
    <font>
      <sz val="11"/>
      <color indexed="9"/>
      <name val="Calibri"/>
      <family val="2"/>
    </font>
    <font>
      <sz val="11"/>
      <color theme="1"/>
      <name val="Calibri"/>
      <family val="2"/>
    </font>
    <font>
      <sz val="11"/>
      <color theme="0"/>
      <name val="Calibri"/>
      <family val="2"/>
    </font>
    <font>
      <b/>
      <sz val="8"/>
      <name val="Arial Cyr"/>
      <family val="2"/>
    </font>
  </fonts>
  <fills count="4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26"/>
        <bgColor indexed="64"/>
      </patternFill>
    </fill>
  </fills>
  <borders count="5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style="thin"/>
      <right style="thin"/>
      <top>
        <color indexed="63"/>
      </top>
      <bottom style="hair"/>
    </border>
    <border>
      <left>
        <color indexed="63"/>
      </left>
      <right style="thin"/>
      <top>
        <color indexed="63"/>
      </top>
      <bottom style="hair"/>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style="hair"/>
      <bottom style="hair"/>
    </border>
    <border>
      <left/>
      <right/>
      <top style="thin"/>
      <bottom style="thin"/>
    </border>
    <border>
      <left>
        <color indexed="63"/>
      </left>
      <right style="thin"/>
      <top style="thin"/>
      <bottom>
        <color indexed="63"/>
      </bottom>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color indexed="63"/>
      </top>
      <bottom style="hair"/>
    </border>
    <border>
      <left style="thin"/>
      <right>
        <color indexed="63"/>
      </right>
      <top style="thin"/>
      <bottom>
        <color indexed="63"/>
      </bottom>
    </border>
    <border>
      <left style="thin"/>
      <right style="thin"/>
      <top>
        <color indexed="63"/>
      </top>
      <bottom style="thin"/>
    </border>
    <border>
      <left style="thin"/>
      <right style="thin"/>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thin"/>
      <top style="hair"/>
      <bottom style="hair"/>
    </border>
    <border>
      <left>
        <color indexed="63"/>
      </left>
      <right style="thin"/>
      <top style="hair"/>
      <bottom style="hair"/>
    </border>
    <border>
      <left style="thin"/>
      <right style="thin"/>
      <top style="hair"/>
      <bottom style="thin"/>
    </border>
    <border>
      <left>
        <color indexed="63"/>
      </left>
      <right style="thin"/>
      <top style="hair"/>
      <bottom style="thin"/>
    </border>
    <border>
      <left style="thin"/>
      <right style="thin"/>
      <top style="thin"/>
      <bottom>
        <color indexed="63"/>
      </bottom>
    </border>
    <border>
      <left style="medium"/>
      <right style="medium"/>
      <top style="medium"/>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thin"/>
      <right style="medium"/>
      <top style="thin"/>
      <bottom style="thin"/>
    </border>
    <border>
      <left style="hair"/>
      <right>
        <color indexed="63"/>
      </right>
      <top style="hair"/>
      <bottom style="hair"/>
    </border>
    <border>
      <left>
        <color indexed="63"/>
      </left>
      <right style="hair"/>
      <top style="hair"/>
      <bottom style="hair"/>
    </border>
    <border>
      <left style="thin"/>
      <right>
        <color indexed="63"/>
      </right>
      <top style="thin"/>
      <bottom style="thin"/>
    </border>
    <border>
      <left/>
      <right/>
      <top style="thin"/>
      <bottom style="hair"/>
    </border>
    <border>
      <left>
        <color indexed="63"/>
      </left>
      <right>
        <color indexed="63"/>
      </right>
      <top style="hair"/>
      <bottom style="thin"/>
    </border>
    <border>
      <left style="thin"/>
      <right>
        <color indexed="63"/>
      </right>
      <top>
        <color indexed="63"/>
      </top>
      <bottom style="thin"/>
    </border>
    <border>
      <left>
        <color indexed="63"/>
      </left>
      <right>
        <color indexed="63"/>
      </right>
      <top style="thin"/>
      <bottom>
        <color indexed="63"/>
      </bottom>
    </border>
    <border>
      <left>
        <color indexed="63"/>
      </left>
      <right style="medium"/>
      <top style="thin"/>
      <bottom>
        <color indexed="63"/>
      </bottom>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73" fillId="3" borderId="0" applyNumberFormat="0" applyBorder="0" applyAlignment="0" applyProtection="0"/>
    <xf numFmtId="0" fontId="9" fillId="4" borderId="0" applyNumberFormat="0" applyBorder="0" applyAlignment="0" applyProtection="0"/>
    <xf numFmtId="0" fontId="73" fillId="5" borderId="0" applyNumberFormat="0" applyBorder="0" applyAlignment="0" applyProtection="0"/>
    <xf numFmtId="0" fontId="9" fillId="6" borderId="0" applyNumberFormat="0" applyBorder="0" applyAlignment="0" applyProtection="0"/>
    <xf numFmtId="0" fontId="73" fillId="7" borderId="0" applyNumberFormat="0" applyBorder="0" applyAlignment="0" applyProtection="0"/>
    <xf numFmtId="0" fontId="9" fillId="8" borderId="0" applyNumberFormat="0" applyBorder="0" applyAlignment="0" applyProtection="0"/>
    <xf numFmtId="0" fontId="73" fillId="9" borderId="0" applyNumberFormat="0" applyBorder="0" applyAlignment="0" applyProtection="0"/>
    <xf numFmtId="0" fontId="9" fillId="10" borderId="0" applyNumberFormat="0" applyBorder="0" applyAlignment="0" applyProtection="0"/>
    <xf numFmtId="0" fontId="73" fillId="11" borderId="0" applyNumberFormat="0" applyBorder="0" applyAlignment="0" applyProtection="0"/>
    <xf numFmtId="0" fontId="9" fillId="12" borderId="0" applyNumberFormat="0" applyBorder="0" applyAlignment="0" applyProtection="0"/>
    <xf numFmtId="0" fontId="73" fillId="13" borderId="0" applyNumberFormat="0" applyBorder="0" applyAlignment="0" applyProtection="0"/>
    <xf numFmtId="0" fontId="9" fillId="14" borderId="0" applyNumberFormat="0" applyBorder="0" applyAlignment="0" applyProtection="0"/>
    <xf numFmtId="0" fontId="73" fillId="15" borderId="0" applyNumberFormat="0" applyBorder="0" applyAlignment="0" applyProtection="0"/>
    <xf numFmtId="0" fontId="9" fillId="16" borderId="0" applyNumberFormat="0" applyBorder="0" applyAlignment="0" applyProtection="0"/>
    <xf numFmtId="0" fontId="73" fillId="17" borderId="0" applyNumberFormat="0" applyBorder="0" applyAlignment="0" applyProtection="0"/>
    <xf numFmtId="0" fontId="9" fillId="18" borderId="0" applyNumberFormat="0" applyBorder="0" applyAlignment="0" applyProtection="0"/>
    <xf numFmtId="0" fontId="73" fillId="19" borderId="0" applyNumberFormat="0" applyBorder="0" applyAlignment="0" applyProtection="0"/>
    <xf numFmtId="0" fontId="9" fillId="8" borderId="0" applyNumberFormat="0" applyBorder="0" applyAlignment="0" applyProtection="0"/>
    <xf numFmtId="0" fontId="73" fillId="20" borderId="0" applyNumberFormat="0" applyBorder="0" applyAlignment="0" applyProtection="0"/>
    <xf numFmtId="0" fontId="9" fillId="14" borderId="0" applyNumberFormat="0" applyBorder="0" applyAlignment="0" applyProtection="0"/>
    <xf numFmtId="0" fontId="73" fillId="21" borderId="0" applyNumberFormat="0" applyBorder="0" applyAlignment="0" applyProtection="0"/>
    <xf numFmtId="0" fontId="9" fillId="22" borderId="0" applyNumberFormat="0" applyBorder="0" applyAlignment="0" applyProtection="0"/>
    <xf numFmtId="0" fontId="73" fillId="23" borderId="0" applyNumberFormat="0" applyBorder="0" applyAlignment="0" applyProtection="0"/>
    <xf numFmtId="0" fontId="10" fillId="24" borderId="0" applyNumberFormat="0" applyBorder="0" applyAlignment="0" applyProtection="0"/>
    <xf numFmtId="0" fontId="74" fillId="25" borderId="0" applyNumberFormat="0" applyBorder="0" applyAlignment="0" applyProtection="0"/>
    <xf numFmtId="0" fontId="10" fillId="16" borderId="0" applyNumberFormat="0" applyBorder="0" applyAlignment="0" applyProtection="0"/>
    <xf numFmtId="0" fontId="74" fillId="26" borderId="0" applyNumberFormat="0" applyBorder="0" applyAlignment="0" applyProtection="0"/>
    <xf numFmtId="0" fontId="10" fillId="18" borderId="0" applyNumberFormat="0" applyBorder="0" applyAlignment="0" applyProtection="0"/>
    <xf numFmtId="0" fontId="74" fillId="27" borderId="0" applyNumberFormat="0" applyBorder="0" applyAlignment="0" applyProtection="0"/>
    <xf numFmtId="0" fontId="10" fillId="28" borderId="0" applyNumberFormat="0" applyBorder="0" applyAlignment="0" applyProtection="0"/>
    <xf numFmtId="0" fontId="74" fillId="29" borderId="0" applyNumberFormat="0" applyBorder="0" applyAlignment="0" applyProtection="0"/>
    <xf numFmtId="0" fontId="10" fillId="30" borderId="0" applyNumberFormat="0" applyBorder="0" applyAlignment="0" applyProtection="0"/>
    <xf numFmtId="0" fontId="74" fillId="31" borderId="0" applyNumberFormat="0" applyBorder="0" applyAlignment="0" applyProtection="0"/>
    <xf numFmtId="0" fontId="10" fillId="32" borderId="0" applyNumberFormat="0" applyBorder="0" applyAlignment="0" applyProtection="0"/>
    <xf numFmtId="0" fontId="74" fillId="33" borderId="0" applyNumberFormat="0" applyBorder="0" applyAlignment="0" applyProtection="0"/>
    <xf numFmtId="0" fontId="27" fillId="0" borderId="0">
      <alignment horizontal="justify"/>
      <protection/>
    </xf>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28" borderId="0" applyNumberFormat="0" applyBorder="0" applyAlignment="0" applyProtection="0"/>
    <xf numFmtId="0" fontId="10" fillId="30" borderId="0" applyNumberFormat="0" applyBorder="0" applyAlignment="0" applyProtection="0"/>
    <xf numFmtId="0" fontId="10" fillId="37" borderId="0" applyNumberFormat="0" applyBorder="0" applyAlignment="0" applyProtection="0"/>
    <xf numFmtId="49" fontId="27" fillId="0" borderId="1">
      <alignment horizontal="left"/>
      <protection/>
    </xf>
    <xf numFmtId="0" fontId="11" fillId="12" borderId="2" applyNumberFormat="0" applyAlignment="0" applyProtection="0"/>
    <xf numFmtId="0" fontId="12" fillId="38" borderId="3" applyNumberFormat="0" applyAlignment="0" applyProtection="0"/>
    <xf numFmtId="0" fontId="13" fillId="38" borderId="2" applyNumberFormat="0" applyAlignment="0" applyProtection="0"/>
    <xf numFmtId="0" fontId="1" fillId="0" borderId="0" applyNumberFormat="0" applyFill="0" applyBorder="0" applyAlignment="0" applyProtection="0"/>
    <xf numFmtId="49" fontId="27" fillId="0" borderId="1">
      <alignment horizontal="center"/>
      <protection/>
    </xf>
    <xf numFmtId="170" fontId="0" fillId="0" borderId="0" applyFont="0" applyFill="0" applyBorder="0" applyAlignment="0" applyProtection="0"/>
    <xf numFmtId="168" fontId="0" fillId="0" borderId="0" applyFont="0" applyFill="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29" fillId="0" borderId="0">
      <alignment horizontal="center" vertical="top" wrapText="1"/>
      <protection/>
    </xf>
    <xf numFmtId="0" fontId="30" fillId="0" borderId="1">
      <alignment horizontal="center" vertical="center" wrapText="1"/>
      <protection/>
    </xf>
    <xf numFmtId="0" fontId="31" fillId="0" borderId="0">
      <alignment horizontal="right" vertical="top"/>
      <protection/>
    </xf>
    <xf numFmtId="0" fontId="17" fillId="0" borderId="7" applyNumberFormat="0" applyFill="0" applyAlignment="0" applyProtection="0"/>
    <xf numFmtId="0" fontId="18" fillId="39" borderId="8" applyNumberFormat="0" applyAlignment="0" applyProtection="0"/>
    <xf numFmtId="0" fontId="19" fillId="0" borderId="0" applyNumberFormat="0" applyFill="0" applyBorder="0" applyAlignment="0" applyProtection="0"/>
    <xf numFmtId="0" fontId="20" fillId="40" borderId="0" applyNumberFormat="0" applyBorder="0" applyAlignment="0" applyProtection="0"/>
    <xf numFmtId="0" fontId="21" fillId="0" borderId="0">
      <alignment/>
      <protection/>
    </xf>
    <xf numFmtId="0" fontId="28" fillId="0" borderId="0">
      <alignment/>
      <protection/>
    </xf>
    <xf numFmtId="0" fontId="66" fillId="0" borderId="0">
      <alignment/>
      <protection/>
    </xf>
    <xf numFmtId="0" fontId="28" fillId="0" borderId="0">
      <alignment/>
      <protection/>
    </xf>
    <xf numFmtId="0" fontId="28" fillId="0" borderId="0">
      <alignment/>
      <protection/>
    </xf>
    <xf numFmtId="0" fontId="0" fillId="0" borderId="0">
      <alignment/>
      <protection/>
    </xf>
    <xf numFmtId="0" fontId="2" fillId="0" borderId="0" applyNumberFormat="0" applyFill="0" applyBorder="0" applyAlignment="0" applyProtection="0"/>
    <xf numFmtId="0" fontId="22" fillId="4" borderId="0" applyNumberFormat="0" applyBorder="0" applyAlignment="0" applyProtection="0"/>
    <xf numFmtId="0" fontId="32" fillId="0" borderId="0">
      <alignment horizontal="left"/>
      <protection/>
    </xf>
    <xf numFmtId="49" fontId="33" fillId="0" borderId="0">
      <alignment horizontal="center" vertical="top"/>
      <protection/>
    </xf>
    <xf numFmtId="0" fontId="27" fillId="0" borderId="9">
      <alignment horizontal="center"/>
      <protection/>
    </xf>
    <xf numFmtId="0" fontId="23" fillId="0" borderId="0" applyNumberFormat="0" applyFill="0" applyBorder="0" applyAlignment="0" applyProtection="0"/>
    <xf numFmtId="0" fontId="31" fillId="0" borderId="0">
      <alignment horizontal="right" vertical="top" wrapText="1"/>
      <protection/>
    </xf>
    <xf numFmtId="0" fontId="0" fillId="41" borderId="10" applyNumberFormat="0" applyFont="0" applyAlignment="0" applyProtection="0"/>
    <xf numFmtId="9" fontId="0" fillId="0" borderId="0" applyFont="0" applyFill="0" applyBorder="0" applyAlignment="0" applyProtection="0"/>
    <xf numFmtId="0" fontId="24" fillId="0" borderId="11" applyNumberFormat="0" applyFill="0" applyAlignment="0" applyProtection="0"/>
    <xf numFmtId="0" fontId="27" fillId="0" borderId="1">
      <alignment horizontal="center"/>
      <protection/>
    </xf>
    <xf numFmtId="0" fontId="25" fillId="0" borderId="0" applyNumberFormat="0" applyFill="0" applyBorder="0" applyAlignment="0" applyProtection="0"/>
    <xf numFmtId="0" fontId="31" fillId="0" borderId="0">
      <alignment horizontal="justify"/>
      <protection/>
    </xf>
    <xf numFmtId="171" fontId="0" fillId="0" borderId="0" applyFont="0" applyFill="0" applyBorder="0" applyAlignment="0" applyProtection="0"/>
    <xf numFmtId="169" fontId="0" fillId="0" borderId="0" applyFont="0" applyFill="0" applyBorder="0" applyAlignment="0" applyProtection="0"/>
    <xf numFmtId="0" fontId="26" fillId="6" borderId="0" applyNumberFormat="0" applyBorder="0" applyAlignment="0" applyProtection="0"/>
  </cellStyleXfs>
  <cellXfs count="573">
    <xf numFmtId="0" fontId="0" fillId="0" borderId="0" xfId="0" applyAlignment="1">
      <alignment/>
    </xf>
    <xf numFmtId="0" fontId="3" fillId="41" borderId="0" xfId="0" applyFont="1" applyFill="1" applyAlignment="1">
      <alignment/>
    </xf>
    <xf numFmtId="0" fontId="3" fillId="41" borderId="0" xfId="0" applyFont="1" applyFill="1" applyAlignment="1">
      <alignment horizontal="left"/>
    </xf>
    <xf numFmtId="0" fontId="3" fillId="42" borderId="12" xfId="0" applyFont="1" applyFill="1" applyBorder="1" applyAlignment="1">
      <alignment/>
    </xf>
    <xf numFmtId="0" fontId="3" fillId="42" borderId="13" xfId="0" applyFont="1" applyFill="1" applyBorder="1" applyAlignment="1">
      <alignment/>
    </xf>
    <xf numFmtId="0" fontId="3" fillId="42" borderId="13" xfId="0" applyFont="1" applyFill="1" applyBorder="1" applyAlignment="1">
      <alignment horizontal="left"/>
    </xf>
    <xf numFmtId="0" fontId="3" fillId="42" borderId="14" xfId="0" applyFont="1" applyFill="1" applyBorder="1" applyAlignment="1">
      <alignment/>
    </xf>
    <xf numFmtId="0" fontId="3" fillId="42" borderId="15" xfId="0" applyFont="1" applyFill="1" applyBorder="1" applyAlignment="1">
      <alignment/>
    </xf>
    <xf numFmtId="0" fontId="3" fillId="42" borderId="0" xfId="0" applyFont="1" applyFill="1" applyAlignment="1">
      <alignment/>
    </xf>
    <xf numFmtId="0" fontId="3" fillId="42" borderId="0" xfId="0" applyFont="1" applyFill="1" applyAlignment="1">
      <alignment horizontal="left"/>
    </xf>
    <xf numFmtId="0" fontId="3" fillId="42" borderId="16" xfId="0" applyFont="1" applyFill="1" applyBorder="1" applyAlignment="1">
      <alignment/>
    </xf>
    <xf numFmtId="0" fontId="5" fillId="42" borderId="16" xfId="0" applyFont="1" applyFill="1" applyBorder="1" applyAlignment="1">
      <alignment horizontal="center" vertical="top" wrapText="1"/>
    </xf>
    <xf numFmtId="0" fontId="5" fillId="41" borderId="0" xfId="0" applyFont="1" applyFill="1" applyAlignment="1">
      <alignment horizontal="center" vertical="top" wrapText="1"/>
    </xf>
    <xf numFmtId="0" fontId="5" fillId="42" borderId="0" xfId="0" applyFont="1" applyFill="1" applyAlignment="1">
      <alignment horizontal="center" vertical="top" wrapText="1"/>
    </xf>
    <xf numFmtId="0" fontId="5" fillId="42" borderId="0" xfId="0" applyFont="1" applyFill="1" applyAlignment="1">
      <alignment horizontal="left" vertical="top" wrapText="1"/>
    </xf>
    <xf numFmtId="0" fontId="3" fillId="10" borderId="1"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42" borderId="18" xfId="0" applyFont="1" applyFill="1" applyBorder="1" applyAlignment="1">
      <alignment horizontal="center" vertical="center" wrapText="1"/>
    </xf>
    <xf numFmtId="3" fontId="3" fillId="42" borderId="19" xfId="0" applyNumberFormat="1" applyFont="1" applyFill="1" applyBorder="1" applyAlignment="1">
      <alignment horizontal="left" vertical="center"/>
    </xf>
    <xf numFmtId="0" fontId="3" fillId="42" borderId="19" xfId="0" applyFont="1" applyFill="1" applyBorder="1" applyAlignment="1">
      <alignment horizontal="center" vertical="center" wrapText="1"/>
    </xf>
    <xf numFmtId="3" fontId="3" fillId="42" borderId="20" xfId="0" applyNumberFormat="1" applyFont="1" applyFill="1" applyBorder="1" applyAlignment="1">
      <alignment horizontal="left" vertical="center"/>
    </xf>
    <xf numFmtId="0" fontId="3" fillId="42" borderId="20" xfId="0" applyFont="1" applyFill="1" applyBorder="1" applyAlignment="1">
      <alignment horizontal="center" vertical="center" wrapText="1"/>
    </xf>
    <xf numFmtId="0" fontId="3" fillId="42" borderId="21" xfId="0" applyFont="1" applyFill="1" applyBorder="1" applyAlignment="1">
      <alignment/>
    </xf>
    <xf numFmtId="0" fontId="3" fillId="42" borderId="22" xfId="0" applyFont="1" applyFill="1" applyBorder="1" applyAlignment="1">
      <alignment/>
    </xf>
    <xf numFmtId="0" fontId="3" fillId="42" borderId="22" xfId="0" applyFont="1" applyFill="1" applyBorder="1" applyAlignment="1">
      <alignment horizontal="left"/>
    </xf>
    <xf numFmtId="0" fontId="3" fillId="42" borderId="23" xfId="0" applyFont="1" applyFill="1" applyBorder="1" applyAlignment="1">
      <alignment/>
    </xf>
    <xf numFmtId="0" fontId="5" fillId="42" borderId="15" xfId="0" applyFont="1" applyFill="1" applyBorder="1" applyAlignment="1">
      <alignment horizontal="center" vertical="top" wrapText="1"/>
    </xf>
    <xf numFmtId="0" fontId="3" fillId="42" borderId="0" xfId="0" applyFont="1" applyFill="1" applyBorder="1" applyAlignment="1">
      <alignment/>
    </xf>
    <xf numFmtId="0" fontId="8" fillId="42" borderId="0" xfId="0" applyFont="1" applyFill="1" applyBorder="1" applyAlignment="1">
      <alignment/>
    </xf>
    <xf numFmtId="0" fontId="3" fillId="42" borderId="24" xfId="0" applyFont="1" applyFill="1" applyBorder="1" applyAlignment="1">
      <alignment horizontal="center"/>
    </xf>
    <xf numFmtId="14" fontId="3" fillId="42" borderId="24" xfId="0" applyNumberFormat="1" applyFont="1" applyFill="1" applyBorder="1" applyAlignment="1">
      <alignment/>
    </xf>
    <xf numFmtId="14" fontId="3" fillId="43" borderId="24" xfId="0" applyNumberFormat="1" applyFont="1" applyFill="1" applyBorder="1" applyAlignment="1">
      <alignment/>
    </xf>
    <xf numFmtId="0" fontId="37" fillId="42" borderId="0" xfId="0" applyFont="1" applyFill="1" applyAlignment="1" applyProtection="1">
      <alignment/>
      <protection hidden="1"/>
    </xf>
    <xf numFmtId="0" fontId="37" fillId="42" borderId="0" xfId="0" applyFont="1" applyFill="1" applyBorder="1" applyAlignment="1" applyProtection="1">
      <alignment/>
      <protection hidden="1"/>
    </xf>
    <xf numFmtId="0" fontId="6" fillId="42" borderId="0" xfId="0" applyFont="1" applyFill="1" applyBorder="1" applyAlignment="1" applyProtection="1">
      <alignment horizontal="left"/>
      <protection hidden="1"/>
    </xf>
    <xf numFmtId="0" fontId="6" fillId="42" borderId="0" xfId="0" applyFont="1" applyFill="1" applyBorder="1" applyAlignment="1" applyProtection="1">
      <alignment/>
      <protection hidden="1"/>
    </xf>
    <xf numFmtId="0" fontId="6" fillId="42" borderId="0" xfId="0" applyFont="1" applyFill="1" applyBorder="1" applyAlignment="1" applyProtection="1" quotePrefix="1">
      <alignment horizontal="right"/>
      <protection hidden="1"/>
    </xf>
    <xf numFmtId="0" fontId="6" fillId="42" borderId="0" xfId="0" applyFont="1" applyFill="1" applyBorder="1" applyAlignment="1" applyProtection="1">
      <alignment horizontal="center"/>
      <protection hidden="1"/>
    </xf>
    <xf numFmtId="14" fontId="6" fillId="42" borderId="0" xfId="0" applyNumberFormat="1" applyFont="1" applyFill="1" applyBorder="1" applyAlignment="1" applyProtection="1">
      <alignment horizontal="left"/>
      <protection hidden="1"/>
    </xf>
    <xf numFmtId="0" fontId="36" fillId="42" borderId="0" xfId="0" applyFont="1" applyFill="1" applyBorder="1" applyAlignment="1" applyProtection="1">
      <alignment/>
      <protection hidden="1"/>
    </xf>
    <xf numFmtId="169" fontId="36" fillId="42" borderId="0" xfId="96" applyNumberFormat="1" applyFont="1" applyFill="1" applyBorder="1" applyAlignment="1" applyProtection="1">
      <alignment/>
      <protection hidden="1"/>
    </xf>
    <xf numFmtId="0" fontId="36" fillId="42" borderId="9" xfId="0" applyFont="1" applyFill="1" applyBorder="1" applyAlignment="1" applyProtection="1">
      <alignment horizontal="center" vertical="center"/>
      <protection hidden="1"/>
    </xf>
    <xf numFmtId="0" fontId="4" fillId="42" borderId="0" xfId="0" applyFont="1" applyFill="1" applyBorder="1" applyAlignment="1" applyProtection="1" quotePrefix="1">
      <alignment horizontal="center" vertical="center"/>
      <protection hidden="1"/>
    </xf>
    <xf numFmtId="0" fontId="3" fillId="42" borderId="0" xfId="0" applyFont="1" applyFill="1" applyBorder="1" applyAlignment="1" applyProtection="1">
      <alignment/>
      <protection hidden="1"/>
    </xf>
    <xf numFmtId="0" fontId="35" fillId="42" borderId="25" xfId="0" applyFont="1" applyFill="1" applyBorder="1" applyAlignment="1" applyProtection="1">
      <alignment vertical="center" wrapText="1"/>
      <protection hidden="1"/>
    </xf>
    <xf numFmtId="0" fontId="35" fillId="42" borderId="17" xfId="0" applyFont="1" applyFill="1" applyBorder="1" applyAlignment="1" applyProtection="1">
      <alignment vertical="center" wrapText="1"/>
      <protection hidden="1"/>
    </xf>
    <xf numFmtId="0" fontId="36" fillId="42" borderId="0" xfId="0" applyFont="1" applyFill="1" applyBorder="1" applyAlignment="1" applyProtection="1" quotePrefix="1">
      <alignment horizontal="center" vertical="center"/>
      <protection hidden="1"/>
    </xf>
    <xf numFmtId="0" fontId="3" fillId="42" borderId="0" xfId="0" applyFont="1" applyFill="1" applyBorder="1" applyAlignment="1" applyProtection="1" quotePrefix="1">
      <alignment horizontal="left"/>
      <protection hidden="1"/>
    </xf>
    <xf numFmtId="174" fontId="36" fillId="42" borderId="0" xfId="96" applyNumberFormat="1" applyFont="1" applyFill="1" applyBorder="1" applyAlignment="1" applyProtection="1">
      <alignment/>
      <protection hidden="1"/>
    </xf>
    <xf numFmtId="0" fontId="37" fillId="41" borderId="0" xfId="0" applyFont="1" applyFill="1" applyAlignment="1" applyProtection="1">
      <alignment/>
      <protection hidden="1"/>
    </xf>
    <xf numFmtId="0" fontId="6" fillId="41" borderId="0" xfId="0" applyFont="1" applyFill="1" applyAlignment="1" applyProtection="1">
      <alignment/>
      <protection hidden="1"/>
    </xf>
    <xf numFmtId="0" fontId="36" fillId="41" borderId="0" xfId="0" applyFont="1" applyFill="1" applyAlignment="1" applyProtection="1">
      <alignment/>
      <protection hidden="1"/>
    </xf>
    <xf numFmtId="0" fontId="6" fillId="42" borderId="12" xfId="0" applyFont="1" applyFill="1" applyBorder="1" applyAlignment="1" applyProtection="1">
      <alignment/>
      <protection hidden="1"/>
    </xf>
    <xf numFmtId="0" fontId="37" fillId="42" borderId="15" xfId="0" applyFont="1" applyFill="1" applyBorder="1" applyAlignment="1" applyProtection="1">
      <alignment/>
      <protection hidden="1"/>
    </xf>
    <xf numFmtId="0" fontId="6" fillId="42" borderId="15" xfId="0" applyFont="1" applyFill="1" applyBorder="1" applyAlignment="1" applyProtection="1">
      <alignment/>
      <protection hidden="1"/>
    </xf>
    <xf numFmtId="0" fontId="3" fillId="42" borderId="0" xfId="0" applyFont="1" applyFill="1" applyBorder="1" applyAlignment="1" applyProtection="1">
      <alignment horizontal="left" wrapText="1"/>
      <protection hidden="1"/>
    </xf>
    <xf numFmtId="169" fontId="3" fillId="42" borderId="17" xfId="96" applyNumberFormat="1" applyFont="1" applyFill="1" applyBorder="1" applyAlignment="1" applyProtection="1">
      <alignment shrinkToFit="1"/>
      <protection hidden="1"/>
    </xf>
    <xf numFmtId="169" fontId="3" fillId="42" borderId="26" xfId="96" applyNumberFormat="1" applyFont="1" applyFill="1" applyBorder="1" applyAlignment="1" applyProtection="1">
      <alignment shrinkToFit="1"/>
      <protection hidden="1"/>
    </xf>
    <xf numFmtId="0" fontId="36" fillId="42" borderId="15" xfId="0" applyFont="1" applyFill="1" applyBorder="1" applyAlignment="1" applyProtection="1">
      <alignment/>
      <protection hidden="1"/>
    </xf>
    <xf numFmtId="0" fontId="6" fillId="42" borderId="21" xfId="0" applyFont="1" applyFill="1" applyBorder="1" applyAlignment="1" applyProtection="1">
      <alignment/>
      <protection hidden="1"/>
    </xf>
    <xf numFmtId="0" fontId="6" fillId="42" borderId="22" xfId="0" applyFont="1" applyFill="1" applyBorder="1" applyAlignment="1" applyProtection="1">
      <alignment/>
      <protection hidden="1"/>
    </xf>
    <xf numFmtId="0" fontId="36" fillId="42" borderId="0" xfId="0" applyFont="1" applyFill="1" applyBorder="1" applyAlignment="1" applyProtection="1">
      <alignment vertical="center"/>
      <protection hidden="1"/>
    </xf>
    <xf numFmtId="0" fontId="36" fillId="42" borderId="0" xfId="0" applyFont="1" applyFill="1" applyBorder="1" applyAlignment="1" applyProtection="1">
      <alignment horizontal="right" vertical="center"/>
      <protection hidden="1"/>
    </xf>
    <xf numFmtId="0" fontId="6" fillId="42" borderId="0" xfId="0" applyFont="1" applyFill="1" applyBorder="1" applyAlignment="1" applyProtection="1">
      <alignment/>
      <protection hidden="1"/>
    </xf>
    <xf numFmtId="0" fontId="37" fillId="42" borderId="0" xfId="0" applyFont="1" applyFill="1" applyBorder="1" applyAlignment="1" applyProtection="1">
      <alignment/>
      <protection hidden="1"/>
    </xf>
    <xf numFmtId="0" fontId="37" fillId="42" borderId="0" xfId="0" applyFont="1" applyFill="1" applyBorder="1" applyAlignment="1" applyProtection="1">
      <alignment shrinkToFit="1"/>
      <protection hidden="1"/>
    </xf>
    <xf numFmtId="0" fontId="37" fillId="42" borderId="27" xfId="0" applyFont="1" applyFill="1" applyBorder="1" applyAlignment="1" applyProtection="1">
      <alignment horizontal="right"/>
      <protection hidden="1"/>
    </xf>
    <xf numFmtId="0" fontId="3" fillId="42" borderId="0" xfId="0" applyFont="1" applyFill="1" applyBorder="1" applyAlignment="1" applyProtection="1">
      <alignment horizontal="left"/>
      <protection hidden="1"/>
    </xf>
    <xf numFmtId="0" fontId="36" fillId="42" borderId="0" xfId="0" applyFont="1" applyFill="1" applyBorder="1" applyAlignment="1" applyProtection="1">
      <alignment horizontal="left" vertical="center"/>
      <protection hidden="1"/>
    </xf>
    <xf numFmtId="0" fontId="37" fillId="10" borderId="28" xfId="0" applyFont="1" applyFill="1" applyBorder="1" applyAlignment="1" applyProtection="1">
      <alignment/>
      <protection hidden="1"/>
    </xf>
    <xf numFmtId="14" fontId="3" fillId="10" borderId="29" xfId="0" applyNumberFormat="1" applyFont="1" applyFill="1" applyBorder="1" applyAlignment="1" applyProtection="1">
      <alignment horizontal="center"/>
      <protection hidden="1"/>
    </xf>
    <xf numFmtId="173" fontId="3" fillId="10" borderId="29" xfId="0" applyNumberFormat="1" applyFont="1" applyFill="1" applyBorder="1" applyAlignment="1" applyProtection="1">
      <alignment horizontal="center"/>
      <protection hidden="1"/>
    </xf>
    <xf numFmtId="175" fontId="36" fillId="10" borderId="0" xfId="0" applyNumberFormat="1" applyFont="1" applyFill="1" applyBorder="1" applyAlignment="1" applyProtection="1">
      <alignment vertical="center"/>
      <protection hidden="1"/>
    </xf>
    <xf numFmtId="173" fontId="3" fillId="10" borderId="28" xfId="0" applyNumberFormat="1" applyFont="1" applyFill="1" applyBorder="1" applyAlignment="1" applyProtection="1">
      <alignment horizontal="center"/>
      <protection hidden="1"/>
    </xf>
    <xf numFmtId="0" fontId="4" fillId="42" borderId="0" xfId="0" applyFont="1" applyFill="1" applyBorder="1" applyAlignment="1" applyProtection="1">
      <alignment horizontal="left"/>
      <protection hidden="1"/>
    </xf>
    <xf numFmtId="0" fontId="36" fillId="42" borderId="9" xfId="0" applyFont="1" applyFill="1" applyBorder="1" applyAlignment="1" applyProtection="1">
      <alignment/>
      <protection hidden="1"/>
    </xf>
    <xf numFmtId="173" fontId="4" fillId="42" borderId="30" xfId="0" applyNumberFormat="1" applyFont="1" applyFill="1" applyBorder="1" applyAlignment="1" applyProtection="1">
      <alignment horizontal="right"/>
      <protection hidden="1"/>
    </xf>
    <xf numFmtId="0" fontId="4" fillId="42" borderId="26" xfId="0" applyFont="1" applyFill="1" applyBorder="1" applyAlignment="1" applyProtection="1">
      <alignment horizontal="left"/>
      <protection hidden="1"/>
    </xf>
    <xf numFmtId="0" fontId="37" fillId="10" borderId="31" xfId="0" applyFont="1" applyFill="1" applyBorder="1" applyAlignment="1" applyProtection="1">
      <alignment horizontal="center" vertical="center" wrapText="1"/>
      <protection hidden="1"/>
    </xf>
    <xf numFmtId="169" fontId="37" fillId="42" borderId="32" xfId="96" applyNumberFormat="1" applyFont="1" applyFill="1" applyBorder="1" applyAlignment="1" applyProtection="1">
      <alignment horizontal="center"/>
      <protection hidden="1" locked="0"/>
    </xf>
    <xf numFmtId="169" fontId="37" fillId="42" borderId="33" xfId="96" applyNumberFormat="1" applyFont="1" applyFill="1" applyBorder="1" applyAlignment="1" applyProtection="1">
      <alignment horizontal="center"/>
      <protection hidden="1" locked="0"/>
    </xf>
    <xf numFmtId="0" fontId="6" fillId="42" borderId="34" xfId="0" applyFont="1" applyFill="1" applyBorder="1" applyAlignment="1" applyProtection="1">
      <alignment/>
      <protection hidden="1"/>
    </xf>
    <xf numFmtId="0" fontId="6" fillId="42" borderId="35" xfId="0" applyFont="1" applyFill="1" applyBorder="1" applyAlignment="1" applyProtection="1">
      <alignment/>
      <protection hidden="1"/>
    </xf>
    <xf numFmtId="169" fontId="6" fillId="42" borderId="32" xfId="96" applyNumberFormat="1" applyFont="1" applyFill="1" applyBorder="1" applyAlignment="1" applyProtection="1">
      <alignment horizontal="center"/>
      <protection hidden="1" locked="0"/>
    </xf>
    <xf numFmtId="169" fontId="6" fillId="42" borderId="33" xfId="96" applyNumberFormat="1" applyFont="1" applyFill="1" applyBorder="1" applyAlignment="1" applyProtection="1">
      <alignment horizontal="center"/>
      <protection hidden="1" locked="0"/>
    </xf>
    <xf numFmtId="169" fontId="6" fillId="42" borderId="36" xfId="96" applyNumberFormat="1" applyFont="1" applyFill="1" applyBorder="1" applyAlignment="1" applyProtection="1">
      <alignment horizontal="center"/>
      <protection hidden="1" locked="0"/>
    </xf>
    <xf numFmtId="169" fontId="6" fillId="42" borderId="37" xfId="96" applyNumberFormat="1" applyFont="1" applyFill="1" applyBorder="1" applyAlignment="1" applyProtection="1">
      <alignment horizontal="center"/>
      <protection hidden="1" locked="0"/>
    </xf>
    <xf numFmtId="169" fontId="6" fillId="42" borderId="38" xfId="96" applyNumberFormat="1" applyFont="1" applyFill="1" applyBorder="1" applyAlignment="1" applyProtection="1">
      <alignment horizontal="center"/>
      <protection hidden="1" locked="0"/>
    </xf>
    <xf numFmtId="169" fontId="6" fillId="42" borderId="39" xfId="96" applyNumberFormat="1" applyFont="1" applyFill="1" applyBorder="1" applyAlignment="1" applyProtection="1">
      <alignment horizontal="center"/>
      <protection hidden="1" locked="0"/>
    </xf>
    <xf numFmtId="169" fontId="6" fillId="42" borderId="31" xfId="96" applyNumberFormat="1" applyFont="1" applyFill="1" applyBorder="1" applyAlignment="1" applyProtection="1">
      <alignment horizontal="center"/>
      <protection hidden="1"/>
    </xf>
    <xf numFmtId="169" fontId="6" fillId="42" borderId="20" xfId="96" applyNumberFormat="1" applyFont="1" applyFill="1" applyBorder="1" applyAlignment="1" applyProtection="1">
      <alignment horizontal="center"/>
      <protection hidden="1"/>
    </xf>
    <xf numFmtId="169" fontId="37" fillId="42" borderId="36" xfId="96" applyNumberFormat="1" applyFont="1" applyFill="1" applyBorder="1" applyAlignment="1" applyProtection="1">
      <alignment horizontal="center"/>
      <protection hidden="1" locked="0"/>
    </xf>
    <xf numFmtId="0" fontId="37" fillId="42" borderId="34" xfId="0" applyFont="1" applyFill="1" applyBorder="1" applyAlignment="1" applyProtection="1">
      <alignment/>
      <protection hidden="1"/>
    </xf>
    <xf numFmtId="0" fontId="37" fillId="42" borderId="35" xfId="0" applyFont="1" applyFill="1" applyBorder="1" applyAlignment="1" applyProtection="1">
      <alignment/>
      <protection hidden="1"/>
    </xf>
    <xf numFmtId="169" fontId="37" fillId="42" borderId="38" xfId="96" applyNumberFormat="1" applyFont="1" applyFill="1" applyBorder="1" applyAlignment="1" applyProtection="1">
      <alignment horizontal="center"/>
      <protection hidden="1" locked="0"/>
    </xf>
    <xf numFmtId="169" fontId="37" fillId="42" borderId="39" xfId="96" applyNumberFormat="1" applyFont="1" applyFill="1" applyBorder="1" applyAlignment="1" applyProtection="1">
      <alignment horizontal="center"/>
      <protection hidden="1" locked="0"/>
    </xf>
    <xf numFmtId="174" fontId="37" fillId="42" borderId="1" xfId="96" applyNumberFormat="1" applyFont="1" applyFill="1" applyBorder="1" applyAlignment="1" applyProtection="1">
      <alignment/>
      <protection hidden="1" locked="0"/>
    </xf>
    <xf numFmtId="174" fontId="37" fillId="10" borderId="1" xfId="96" applyNumberFormat="1" applyFont="1" applyFill="1" applyBorder="1" applyAlignment="1" applyProtection="1">
      <alignment/>
      <protection hidden="1"/>
    </xf>
    <xf numFmtId="169" fontId="6" fillId="42" borderId="40" xfId="96" applyNumberFormat="1" applyFont="1" applyFill="1" applyBorder="1" applyAlignment="1" applyProtection="1">
      <alignment horizontal="center"/>
      <protection hidden="1"/>
    </xf>
    <xf numFmtId="0" fontId="35" fillId="42" borderId="20" xfId="0" applyFont="1" applyFill="1" applyBorder="1" applyAlignment="1" applyProtection="1">
      <alignment horizontal="center" wrapText="1"/>
      <protection hidden="1"/>
    </xf>
    <xf numFmtId="174" fontId="37" fillId="42" borderId="41" xfId="96" applyNumberFormat="1" applyFont="1" applyFill="1" applyBorder="1" applyAlignment="1" applyProtection="1">
      <alignment/>
      <protection hidden="1"/>
    </xf>
    <xf numFmtId="174" fontId="36" fillId="42" borderId="0" xfId="96" applyNumberFormat="1" applyFont="1" applyFill="1" applyBorder="1" applyAlignment="1" applyProtection="1">
      <alignment/>
      <protection hidden="1"/>
    </xf>
    <xf numFmtId="0" fontId="38" fillId="42" borderId="34" xfId="0" applyFont="1" applyFill="1" applyBorder="1" applyAlignment="1" applyProtection="1">
      <alignment/>
      <protection hidden="1"/>
    </xf>
    <xf numFmtId="0" fontId="38" fillId="42" borderId="0" xfId="0" applyFont="1" applyFill="1" applyBorder="1" applyAlignment="1" applyProtection="1">
      <alignment/>
      <protection hidden="1"/>
    </xf>
    <xf numFmtId="0" fontId="36" fillId="42" borderId="0" xfId="0" applyFont="1" applyFill="1" applyBorder="1" applyAlignment="1" applyProtection="1">
      <alignment horizontal="right"/>
      <protection hidden="1"/>
    </xf>
    <xf numFmtId="174" fontId="36" fillId="42" borderId="0" xfId="96" applyNumberFormat="1" applyFont="1" applyFill="1" applyBorder="1" applyAlignment="1" applyProtection="1">
      <alignment horizontal="right"/>
      <protection hidden="1"/>
    </xf>
    <xf numFmtId="0" fontId="36" fillId="42" borderId="9" xfId="0" applyFont="1" applyFill="1" applyBorder="1" applyAlignment="1" applyProtection="1" quotePrefix="1">
      <alignment horizontal="center" vertical="center"/>
      <protection hidden="1"/>
    </xf>
    <xf numFmtId="0" fontId="35" fillId="42" borderId="1" xfId="0" applyFont="1" applyFill="1" applyBorder="1" applyAlignment="1" applyProtection="1">
      <alignment vertical="center" wrapText="1"/>
      <protection hidden="1"/>
    </xf>
    <xf numFmtId="169" fontId="3" fillId="42" borderId="1" xfId="0" applyNumberFormat="1" applyFont="1" applyFill="1" applyBorder="1" applyAlignment="1" applyProtection="1">
      <alignment/>
      <protection hidden="1"/>
    </xf>
    <xf numFmtId="169" fontId="3" fillId="10" borderId="1" xfId="0" applyNumberFormat="1" applyFont="1" applyFill="1" applyBorder="1" applyAlignment="1" applyProtection="1">
      <alignment shrinkToFit="1"/>
      <protection hidden="1"/>
    </xf>
    <xf numFmtId="169" fontId="4" fillId="10" borderId="1" xfId="0" applyNumberFormat="1" applyFont="1" applyFill="1" applyBorder="1" applyAlignment="1" applyProtection="1">
      <alignment shrinkToFit="1"/>
      <protection hidden="1"/>
    </xf>
    <xf numFmtId="169" fontId="3" fillId="10" borderId="32" xfId="0" applyNumberFormat="1" applyFont="1" applyFill="1" applyBorder="1" applyAlignment="1" applyProtection="1">
      <alignment shrinkToFit="1"/>
      <protection hidden="1"/>
    </xf>
    <xf numFmtId="169" fontId="3" fillId="10" borderId="38" xfId="0" applyNumberFormat="1" applyFont="1" applyFill="1" applyBorder="1" applyAlignment="1" applyProtection="1">
      <alignment shrinkToFit="1"/>
      <protection hidden="1"/>
    </xf>
    <xf numFmtId="14" fontId="3" fillId="42" borderId="29" xfId="0" applyNumberFormat="1" applyFont="1" applyFill="1" applyBorder="1" applyAlignment="1" applyProtection="1">
      <alignment horizontal="center" shrinkToFit="1"/>
      <protection hidden="1"/>
    </xf>
    <xf numFmtId="0" fontId="39" fillId="42" borderId="0" xfId="0" applyFont="1" applyFill="1" applyBorder="1" applyAlignment="1" applyProtection="1">
      <alignment horizontal="center" vertical="top"/>
      <protection hidden="1"/>
    </xf>
    <xf numFmtId="0" fontId="37" fillId="42" borderId="0" xfId="0" applyFont="1" applyFill="1" applyBorder="1" applyAlignment="1" applyProtection="1">
      <alignment horizontal="left"/>
      <protection hidden="1"/>
    </xf>
    <xf numFmtId="0" fontId="37" fillId="42" borderId="28" xfId="0" applyFont="1" applyFill="1" applyBorder="1" applyAlignment="1" applyProtection="1">
      <alignment horizontal="center"/>
      <protection hidden="1"/>
    </xf>
    <xf numFmtId="0" fontId="37" fillId="41" borderId="0" xfId="0" applyFont="1" applyFill="1" applyBorder="1" applyAlignment="1" applyProtection="1">
      <alignment/>
      <protection hidden="1"/>
    </xf>
    <xf numFmtId="0" fontId="36" fillId="42" borderId="9" xfId="0" applyFont="1" applyFill="1" applyBorder="1" applyAlignment="1" applyProtection="1">
      <alignment/>
      <protection hidden="1"/>
    </xf>
    <xf numFmtId="0" fontId="36" fillId="42" borderId="0" xfId="0" applyFont="1" applyFill="1" applyBorder="1" applyAlignment="1" applyProtection="1">
      <alignment horizontal="center"/>
      <protection hidden="1"/>
    </xf>
    <xf numFmtId="14" fontId="36" fillId="42" borderId="0" xfId="0" applyNumberFormat="1" applyFont="1" applyFill="1" applyBorder="1" applyAlignment="1" applyProtection="1">
      <alignment/>
      <protection hidden="1"/>
    </xf>
    <xf numFmtId="3" fontId="37" fillId="42" borderId="0" xfId="0" applyNumberFormat="1" applyFont="1" applyFill="1" applyBorder="1" applyAlignment="1" applyProtection="1">
      <alignment/>
      <protection hidden="1"/>
    </xf>
    <xf numFmtId="0" fontId="37" fillId="42" borderId="12" xfId="0" applyFont="1" applyFill="1" applyBorder="1" applyAlignment="1" applyProtection="1">
      <alignment/>
      <protection hidden="1"/>
    </xf>
    <xf numFmtId="0" fontId="37" fillId="42" borderId="13" xfId="0" applyFont="1" applyFill="1" applyBorder="1" applyAlignment="1" applyProtection="1">
      <alignment/>
      <protection hidden="1" locked="0"/>
    </xf>
    <xf numFmtId="0" fontId="37" fillId="42" borderId="13" xfId="0" applyFont="1" applyFill="1" applyBorder="1" applyAlignment="1" applyProtection="1">
      <alignment/>
      <protection hidden="1"/>
    </xf>
    <xf numFmtId="0" fontId="37" fillId="42" borderId="14" xfId="0" applyFont="1" applyFill="1" applyBorder="1" applyAlignment="1" applyProtection="1">
      <alignment/>
      <protection hidden="1"/>
    </xf>
    <xf numFmtId="0" fontId="37" fillId="42" borderId="16" xfId="0" applyFont="1" applyFill="1" applyBorder="1" applyAlignment="1" applyProtection="1">
      <alignment/>
      <protection hidden="1"/>
    </xf>
    <xf numFmtId="0" fontId="37" fillId="42" borderId="0" xfId="0" applyFont="1" applyFill="1" applyBorder="1" applyAlignment="1" applyProtection="1" quotePrefix="1">
      <alignment horizontal="left"/>
      <protection hidden="1"/>
    </xf>
    <xf numFmtId="0" fontId="37" fillId="42" borderId="21" xfId="0" applyFont="1" applyFill="1" applyBorder="1" applyAlignment="1" applyProtection="1">
      <alignment/>
      <protection hidden="1"/>
    </xf>
    <xf numFmtId="0" fontId="37" fillId="42" borderId="22" xfId="0" applyFont="1" applyFill="1" applyBorder="1" applyAlignment="1" applyProtection="1">
      <alignment/>
      <protection hidden="1"/>
    </xf>
    <xf numFmtId="0" fontId="37" fillId="42" borderId="23" xfId="0" applyFont="1" applyFill="1" applyBorder="1" applyAlignment="1" applyProtection="1">
      <alignment/>
      <protection hidden="1"/>
    </xf>
    <xf numFmtId="174" fontId="6" fillId="42" borderId="31" xfId="96" applyNumberFormat="1" applyFont="1" applyFill="1" applyBorder="1" applyAlignment="1" applyProtection="1">
      <alignment horizontal="center" vertical="center"/>
      <protection hidden="1"/>
    </xf>
    <xf numFmtId="0" fontId="37" fillId="42" borderId="0" xfId="0" applyFont="1" applyFill="1" applyBorder="1" applyAlignment="1" applyProtection="1">
      <alignment horizontal="center"/>
      <protection hidden="1"/>
    </xf>
    <xf numFmtId="0" fontId="36" fillId="42" borderId="27" xfId="0" applyFont="1" applyFill="1" applyBorder="1" applyAlignment="1" applyProtection="1">
      <alignment/>
      <protection hidden="1"/>
    </xf>
    <xf numFmtId="0" fontId="37" fillId="42" borderId="27" xfId="0" applyFont="1" applyFill="1" applyBorder="1" applyAlignment="1" applyProtection="1">
      <alignment/>
      <protection hidden="1"/>
    </xf>
    <xf numFmtId="0" fontId="41" fillId="42" borderId="28" xfId="0" applyFont="1" applyFill="1" applyBorder="1" applyAlignment="1" applyProtection="1">
      <alignment horizontal="center"/>
      <protection hidden="1"/>
    </xf>
    <xf numFmtId="0" fontId="37" fillId="42" borderId="0" xfId="0" applyFont="1" applyFill="1" applyBorder="1" applyAlignment="1" applyProtection="1">
      <alignment horizontal="right"/>
      <protection hidden="1"/>
    </xf>
    <xf numFmtId="14" fontId="37" fillId="10" borderId="29" xfId="0" applyNumberFormat="1" applyFont="1" applyFill="1" applyBorder="1" applyAlignment="1" applyProtection="1">
      <alignment horizontal="center"/>
      <protection hidden="1"/>
    </xf>
    <xf numFmtId="14" fontId="41" fillId="42" borderId="0" xfId="0" applyNumberFormat="1" applyFont="1" applyFill="1" applyBorder="1" applyAlignment="1" applyProtection="1">
      <alignment horizontal="left" shrinkToFit="1"/>
      <protection hidden="1"/>
    </xf>
    <xf numFmtId="14" fontId="41" fillId="42" borderId="29" xfId="0" applyNumberFormat="1" applyFont="1" applyFill="1" applyBorder="1" applyAlignment="1" applyProtection="1">
      <alignment horizontal="center"/>
      <protection hidden="1"/>
    </xf>
    <xf numFmtId="14" fontId="41" fillId="42" borderId="29" xfId="0" applyNumberFormat="1" applyFont="1" applyFill="1" applyBorder="1" applyAlignment="1" applyProtection="1">
      <alignment horizontal="center" shrinkToFit="1"/>
      <protection hidden="1"/>
    </xf>
    <xf numFmtId="0" fontId="37" fillId="42" borderId="0" xfId="0" applyFont="1" applyFill="1" applyBorder="1" applyAlignment="1" applyProtection="1" quotePrefix="1">
      <alignment/>
      <protection hidden="1"/>
    </xf>
    <xf numFmtId="14" fontId="37" fillId="42" borderId="0" xfId="0" applyNumberFormat="1" applyFont="1" applyFill="1" applyBorder="1" applyAlignment="1" applyProtection="1">
      <alignment/>
      <protection hidden="1"/>
    </xf>
    <xf numFmtId="0" fontId="41" fillId="42" borderId="0" xfId="0" applyFont="1" applyFill="1" applyBorder="1" applyAlignment="1" applyProtection="1">
      <alignment wrapText="1"/>
      <protection hidden="1"/>
    </xf>
    <xf numFmtId="0" fontId="3" fillId="10" borderId="40" xfId="0" applyFont="1" applyFill="1" applyBorder="1" applyAlignment="1" applyProtection="1">
      <alignment horizontal="center" vertical="center" wrapText="1"/>
      <protection hidden="1"/>
    </xf>
    <xf numFmtId="169" fontId="41" fillId="42" borderId="1" xfId="0" applyNumberFormat="1" applyFont="1" applyFill="1" applyBorder="1" applyAlignment="1" applyProtection="1">
      <alignment/>
      <protection hidden="1"/>
    </xf>
    <xf numFmtId="0" fontId="42" fillId="42" borderId="42" xfId="0" applyFont="1" applyFill="1" applyBorder="1" applyAlignment="1" applyProtection="1">
      <alignment horizontal="right"/>
      <protection hidden="1"/>
    </xf>
    <xf numFmtId="0" fontId="42" fillId="42" borderId="33" xfId="0" applyFont="1" applyFill="1" applyBorder="1" applyAlignment="1" applyProtection="1">
      <alignment horizontal="left"/>
      <protection hidden="1"/>
    </xf>
    <xf numFmtId="169" fontId="42" fillId="42" borderId="32" xfId="0" applyNumberFormat="1" applyFont="1" applyFill="1" applyBorder="1" applyAlignment="1" applyProtection="1">
      <alignment horizontal="center"/>
      <protection hidden="1"/>
    </xf>
    <xf numFmtId="0" fontId="42" fillId="42" borderId="43" xfId="0" applyFont="1" applyFill="1" applyBorder="1" applyAlignment="1" applyProtection="1">
      <alignment horizontal="right"/>
      <protection hidden="1"/>
    </xf>
    <xf numFmtId="0" fontId="42" fillId="42" borderId="37" xfId="0" applyFont="1" applyFill="1" applyBorder="1" applyAlignment="1" applyProtection="1">
      <alignment horizontal="left"/>
      <protection hidden="1"/>
    </xf>
    <xf numFmtId="169" fontId="42" fillId="42" borderId="36" xfId="0" applyNumberFormat="1" applyFont="1" applyFill="1" applyBorder="1" applyAlignment="1" applyProtection="1">
      <alignment horizontal="center"/>
      <protection hidden="1"/>
    </xf>
    <xf numFmtId="0" fontId="42" fillId="42" borderId="44" xfId="0" applyFont="1" applyFill="1" applyBorder="1" applyAlignment="1" applyProtection="1">
      <alignment horizontal="right"/>
      <protection hidden="1"/>
    </xf>
    <xf numFmtId="0" fontId="42" fillId="42" borderId="39" xfId="0" applyFont="1" applyFill="1" applyBorder="1" applyAlignment="1" applyProtection="1">
      <alignment horizontal="left"/>
      <protection hidden="1"/>
    </xf>
    <xf numFmtId="169" fontId="42" fillId="42" borderId="38" xfId="0" applyNumberFormat="1" applyFont="1" applyFill="1" applyBorder="1" applyAlignment="1" applyProtection="1">
      <alignment horizontal="center"/>
      <protection hidden="1"/>
    </xf>
    <xf numFmtId="0" fontId="4" fillId="42" borderId="0" xfId="0" applyFont="1" applyFill="1" applyBorder="1" applyAlignment="1" applyProtection="1">
      <alignment/>
      <protection hidden="1"/>
    </xf>
    <xf numFmtId="1" fontId="3" fillId="10" borderId="17" xfId="0" applyNumberFormat="1" applyFont="1" applyFill="1" applyBorder="1" applyAlignment="1" applyProtection="1">
      <alignment horizontal="center" vertical="center" wrapText="1"/>
      <protection hidden="1"/>
    </xf>
    <xf numFmtId="0" fontId="42" fillId="42" borderId="42" xfId="0" applyFont="1" applyFill="1" applyBorder="1" applyAlignment="1" applyProtection="1">
      <alignment horizontal="right" vertical="center"/>
      <protection hidden="1"/>
    </xf>
    <xf numFmtId="0" fontId="42" fillId="42" borderId="33" xfId="0" applyFont="1" applyFill="1" applyBorder="1" applyAlignment="1" applyProtection="1">
      <alignment horizontal="left" vertical="center"/>
      <protection hidden="1"/>
    </xf>
    <xf numFmtId="0" fontId="42" fillId="42" borderId="43" xfId="0" applyFont="1" applyFill="1" applyBorder="1" applyAlignment="1" applyProtection="1">
      <alignment horizontal="right" vertical="center"/>
      <protection hidden="1"/>
    </xf>
    <xf numFmtId="0" fontId="42" fillId="42" borderId="37" xfId="0" applyFont="1" applyFill="1" applyBorder="1" applyAlignment="1" applyProtection="1">
      <alignment horizontal="left" vertical="center"/>
      <protection hidden="1"/>
    </xf>
    <xf numFmtId="0" fontId="42" fillId="42" borderId="44" xfId="0" applyFont="1" applyFill="1" applyBorder="1" applyAlignment="1" applyProtection="1">
      <alignment horizontal="right" vertical="center"/>
      <protection hidden="1"/>
    </xf>
    <xf numFmtId="0" fontId="42" fillId="42" borderId="39" xfId="0" applyFont="1" applyFill="1" applyBorder="1" applyAlignment="1" applyProtection="1">
      <alignment horizontal="left" vertical="center"/>
      <protection hidden="1"/>
    </xf>
    <xf numFmtId="169" fontId="42" fillId="42" borderId="32" xfId="0" applyNumberFormat="1" applyFont="1" applyFill="1" applyBorder="1" applyAlignment="1" applyProtection="1">
      <alignment horizontal="center" vertical="center" shrinkToFit="1"/>
      <protection hidden="1"/>
    </xf>
    <xf numFmtId="169" fontId="42" fillId="42" borderId="36" xfId="0" applyNumberFormat="1" applyFont="1" applyFill="1" applyBorder="1" applyAlignment="1" applyProtection="1">
      <alignment horizontal="center" vertical="center" shrinkToFit="1"/>
      <protection hidden="1"/>
    </xf>
    <xf numFmtId="169" fontId="42" fillId="42" borderId="38" xfId="0" applyNumberFormat="1" applyFont="1" applyFill="1" applyBorder="1" applyAlignment="1" applyProtection="1">
      <alignment horizontal="center" vertical="center" shrinkToFit="1"/>
      <protection hidden="1"/>
    </xf>
    <xf numFmtId="169" fontId="41" fillId="42" borderId="1" xfId="0" applyNumberFormat="1" applyFont="1" applyFill="1" applyBorder="1" applyAlignment="1" applyProtection="1">
      <alignment horizontal="center" shrinkToFit="1"/>
      <protection hidden="1"/>
    </xf>
    <xf numFmtId="169" fontId="36" fillId="42" borderId="0" xfId="0" applyNumberFormat="1" applyFont="1" applyFill="1" applyBorder="1" applyAlignment="1" applyProtection="1">
      <alignment shrinkToFit="1"/>
      <protection hidden="1"/>
    </xf>
    <xf numFmtId="169" fontId="41" fillId="42" borderId="0" xfId="0" applyNumberFormat="1" applyFont="1" applyFill="1" applyBorder="1" applyAlignment="1" applyProtection="1">
      <alignment horizontal="center" shrinkToFit="1"/>
      <protection hidden="1"/>
    </xf>
    <xf numFmtId="169" fontId="41" fillId="42" borderId="0" xfId="0" applyNumberFormat="1" applyFont="1" applyFill="1" applyBorder="1" applyAlignment="1" applyProtection="1">
      <alignment shrinkToFit="1"/>
      <protection hidden="1"/>
    </xf>
    <xf numFmtId="0" fontId="39" fillId="42" borderId="27" xfId="0" applyFont="1" applyFill="1" applyBorder="1" applyAlignment="1" applyProtection="1">
      <alignment vertical="top"/>
      <protection hidden="1"/>
    </xf>
    <xf numFmtId="169" fontId="37" fillId="42" borderId="29" xfId="0" applyNumberFormat="1" applyFont="1" applyFill="1" applyBorder="1" applyAlignment="1" applyProtection="1">
      <alignment horizontal="center"/>
      <protection hidden="1"/>
    </xf>
    <xf numFmtId="0" fontId="3" fillId="42" borderId="0" xfId="0" applyFont="1" applyFill="1" applyBorder="1" applyAlignment="1">
      <alignment/>
    </xf>
    <xf numFmtId="14" fontId="3" fillId="10" borderId="24" xfId="0" applyNumberFormat="1" applyFont="1" applyFill="1" applyBorder="1" applyAlignment="1">
      <alignment/>
    </xf>
    <xf numFmtId="0" fontId="37" fillId="42" borderId="0" xfId="0" applyFont="1" applyFill="1" applyAlignment="1" applyProtection="1">
      <alignment/>
      <protection hidden="1"/>
    </xf>
    <xf numFmtId="0" fontId="37" fillId="42" borderId="0" xfId="0" applyNumberFormat="1" applyFont="1" applyFill="1" applyAlignment="1" applyProtection="1">
      <alignment/>
      <protection hidden="1"/>
    </xf>
    <xf numFmtId="0" fontId="0" fillId="41" borderId="0" xfId="0" applyNumberFormat="1" applyFill="1" applyAlignment="1">
      <alignment/>
    </xf>
    <xf numFmtId="0" fontId="0" fillId="42" borderId="12" xfId="0" applyNumberFormat="1" applyFill="1" applyBorder="1" applyAlignment="1">
      <alignment/>
    </xf>
    <xf numFmtId="0" fontId="0" fillId="42" borderId="13" xfId="0" applyNumberFormat="1" applyFill="1" applyBorder="1" applyAlignment="1">
      <alignment/>
    </xf>
    <xf numFmtId="0" fontId="0" fillId="42" borderId="14" xfId="0" applyNumberFormat="1" applyFill="1" applyBorder="1" applyAlignment="1">
      <alignment/>
    </xf>
    <xf numFmtId="0" fontId="0" fillId="42" borderId="15" xfId="0" applyNumberFormat="1" applyFill="1" applyBorder="1" applyAlignment="1">
      <alignment/>
    </xf>
    <xf numFmtId="0" fontId="0" fillId="42" borderId="0" xfId="0" applyNumberFormat="1" applyFill="1" applyBorder="1" applyAlignment="1">
      <alignment/>
    </xf>
    <xf numFmtId="0" fontId="0" fillId="42" borderId="16" xfId="0" applyNumberFormat="1" applyFill="1" applyBorder="1" applyAlignment="1">
      <alignment/>
    </xf>
    <xf numFmtId="0" fontId="0" fillId="42" borderId="21" xfId="0" applyNumberFormat="1" applyFill="1" applyBorder="1" applyAlignment="1">
      <alignment/>
    </xf>
    <xf numFmtId="0" fontId="0" fillId="42" borderId="22" xfId="0" applyNumberFormat="1" applyFill="1" applyBorder="1" applyAlignment="1">
      <alignment/>
    </xf>
    <xf numFmtId="0" fontId="0" fillId="42" borderId="23" xfId="0" applyNumberFormat="1" applyFill="1" applyBorder="1" applyAlignment="1">
      <alignment/>
    </xf>
    <xf numFmtId="0" fontId="8" fillId="42" borderId="0" xfId="0" applyNumberFormat="1" applyFont="1" applyFill="1" applyBorder="1" applyAlignment="1">
      <alignment horizontal="justify" vertical="center" wrapText="1"/>
    </xf>
    <xf numFmtId="0" fontId="43" fillId="42" borderId="0" xfId="0" applyNumberFormat="1" applyFont="1" applyFill="1" applyBorder="1" applyAlignment="1">
      <alignment horizontal="center"/>
    </xf>
    <xf numFmtId="0" fontId="43" fillId="42" borderId="0" xfId="0" applyNumberFormat="1" applyFont="1" applyFill="1" applyBorder="1" applyAlignment="1">
      <alignment/>
    </xf>
    <xf numFmtId="0" fontId="44" fillId="42" borderId="0" xfId="0" applyNumberFormat="1" applyFont="1" applyFill="1" applyBorder="1" applyAlignment="1">
      <alignment horizontal="justify" vertical="center" wrapText="1"/>
    </xf>
    <xf numFmtId="0" fontId="0" fillId="41" borderId="0" xfId="0" applyNumberFormat="1" applyFill="1" applyAlignment="1">
      <alignment wrapText="1"/>
    </xf>
    <xf numFmtId="0" fontId="38" fillId="42" borderId="35" xfId="0" applyFont="1" applyFill="1" applyBorder="1" applyAlignment="1" applyProtection="1">
      <alignment/>
      <protection hidden="1"/>
    </xf>
    <xf numFmtId="0" fontId="38" fillId="42" borderId="35" xfId="0" applyFont="1" applyFill="1" applyBorder="1" applyAlignment="1" applyProtection="1">
      <alignment wrapText="1"/>
      <protection hidden="1"/>
    </xf>
    <xf numFmtId="0" fontId="38" fillId="42" borderId="45" xfId="0" applyFont="1" applyFill="1" applyBorder="1" applyAlignment="1" applyProtection="1">
      <alignment/>
      <protection hidden="1"/>
    </xf>
    <xf numFmtId="0" fontId="38" fillId="42" borderId="35" xfId="0" applyFont="1" applyFill="1" applyBorder="1" applyAlignment="1" applyProtection="1">
      <alignment/>
      <protection hidden="1"/>
    </xf>
    <xf numFmtId="14" fontId="38" fillId="42" borderId="20" xfId="0" applyNumberFormat="1" applyFont="1" applyFill="1" applyBorder="1" applyAlignment="1" applyProtection="1">
      <alignment/>
      <protection hidden="1"/>
    </xf>
    <xf numFmtId="1" fontId="38" fillId="42" borderId="45" xfId="0" applyNumberFormat="1" applyFont="1" applyFill="1" applyBorder="1" applyAlignment="1" applyProtection="1">
      <alignment/>
      <protection hidden="1"/>
    </xf>
    <xf numFmtId="0" fontId="3" fillId="10" borderId="40" xfId="0" applyFont="1" applyFill="1" applyBorder="1" applyAlignment="1" applyProtection="1" quotePrefix="1">
      <alignment horizontal="center" vertical="center" wrapText="1"/>
      <protection hidden="1"/>
    </xf>
    <xf numFmtId="0" fontId="3" fillId="10" borderId="1" xfId="0" applyFont="1" applyFill="1" applyBorder="1" applyAlignment="1" applyProtection="1">
      <alignment horizontal="center" vertical="center" wrapText="1"/>
      <protection hidden="1"/>
    </xf>
    <xf numFmtId="0" fontId="3" fillId="42" borderId="40" xfId="0" applyFont="1" applyFill="1" applyBorder="1" applyAlignment="1" applyProtection="1">
      <alignment horizontal="center" shrinkToFit="1"/>
      <protection hidden="1"/>
    </xf>
    <xf numFmtId="0" fontId="3" fillId="42" borderId="26" xfId="0" applyFont="1" applyFill="1" applyBorder="1" applyAlignment="1" applyProtection="1">
      <alignment horizontal="center"/>
      <protection hidden="1" locked="0"/>
    </xf>
    <xf numFmtId="0" fontId="38" fillId="42" borderId="31" xfId="0" applyFont="1" applyFill="1" applyBorder="1" applyAlignment="1" applyProtection="1">
      <alignment horizontal="center" shrinkToFit="1"/>
      <protection hidden="1"/>
    </xf>
    <xf numFmtId="0" fontId="3" fillId="42" borderId="0" xfId="0" applyNumberFormat="1" applyFont="1" applyFill="1" applyBorder="1" applyAlignment="1">
      <alignment/>
    </xf>
    <xf numFmtId="0" fontId="4" fillId="42" borderId="0" xfId="0" applyNumberFormat="1" applyFont="1" applyFill="1" applyBorder="1" applyAlignment="1">
      <alignment/>
    </xf>
    <xf numFmtId="0" fontId="4" fillId="42" borderId="0" xfId="0" applyNumberFormat="1" applyFont="1" applyFill="1" applyBorder="1" applyAlignment="1">
      <alignment horizontal="center"/>
    </xf>
    <xf numFmtId="0" fontId="3" fillId="42" borderId="22" xfId="0" applyNumberFormat="1" applyFont="1" applyFill="1" applyBorder="1" applyAlignment="1">
      <alignment/>
    </xf>
    <xf numFmtId="0" fontId="3" fillId="41" borderId="0" xfId="0" applyNumberFormat="1" applyFont="1" applyFill="1" applyAlignment="1">
      <alignment/>
    </xf>
    <xf numFmtId="0" fontId="3" fillId="42" borderId="0" xfId="0" applyNumberFormat="1" applyFont="1" applyFill="1" applyBorder="1" applyAlignment="1">
      <alignment horizontal="justify" vertical="center"/>
    </xf>
    <xf numFmtId="0" fontId="47" fillId="41" borderId="0" xfId="0" applyNumberFormat="1" applyFont="1" applyFill="1" applyAlignment="1">
      <alignment horizontal="center"/>
    </xf>
    <xf numFmtId="0" fontId="46" fillId="41" borderId="0" xfId="0" applyFont="1" applyFill="1" applyAlignment="1">
      <alignment/>
    </xf>
    <xf numFmtId="0" fontId="48" fillId="41" borderId="0" xfId="0" applyFont="1" applyFill="1" applyAlignment="1">
      <alignment/>
    </xf>
    <xf numFmtId="0" fontId="48" fillId="41" borderId="0" xfId="0" applyFont="1" applyFill="1" applyAlignment="1">
      <alignment horizontal="left" vertical="top"/>
    </xf>
    <xf numFmtId="0" fontId="48" fillId="41" borderId="0" xfId="81" applyFont="1" applyFill="1" applyBorder="1" applyAlignment="1" applyProtection="1" quotePrefix="1">
      <alignment horizontal="left"/>
      <protection hidden="1"/>
    </xf>
    <xf numFmtId="0" fontId="48" fillId="41" borderId="0" xfId="81" applyFont="1" applyFill="1" applyBorder="1" applyProtection="1">
      <alignment/>
      <protection hidden="1"/>
    </xf>
    <xf numFmtId="0" fontId="48" fillId="41" borderId="0" xfId="81" applyFont="1" applyFill="1" applyBorder="1" applyAlignment="1" applyProtection="1">
      <alignment horizontal="left"/>
      <protection hidden="1"/>
    </xf>
    <xf numFmtId="0" fontId="48" fillId="41" borderId="0" xfId="0" applyFont="1" applyFill="1" applyAlignment="1" applyProtection="1">
      <alignment horizontal="left"/>
      <protection hidden="1"/>
    </xf>
    <xf numFmtId="0" fontId="48" fillId="41" borderId="0" xfId="0" applyFont="1" applyFill="1" applyBorder="1" applyAlignment="1" applyProtection="1">
      <alignment/>
      <protection hidden="1"/>
    </xf>
    <xf numFmtId="0" fontId="48" fillId="41" borderId="0" xfId="80" applyFont="1" applyFill="1" applyBorder="1" applyProtection="1">
      <alignment/>
      <protection hidden="1"/>
    </xf>
    <xf numFmtId="0" fontId="49" fillId="41" borderId="0" xfId="80" applyFont="1" applyFill="1" applyBorder="1" applyProtection="1">
      <alignment/>
      <protection hidden="1"/>
    </xf>
    <xf numFmtId="0" fontId="49" fillId="41" borderId="0" xfId="80" applyFont="1" applyFill="1" applyBorder="1" applyAlignment="1" applyProtection="1">
      <alignment horizontal="center" vertical="center" wrapText="1"/>
      <protection hidden="1"/>
    </xf>
    <xf numFmtId="0" fontId="49" fillId="41" borderId="0" xfId="80" applyFont="1" applyFill="1" applyBorder="1" applyAlignment="1" applyProtection="1" quotePrefix="1">
      <alignment horizontal="center" vertical="center" wrapText="1"/>
      <protection hidden="1"/>
    </xf>
    <xf numFmtId="0" fontId="49" fillId="41" borderId="0" xfId="80" applyFont="1" applyFill="1" applyBorder="1" applyAlignment="1" applyProtection="1">
      <alignment vertical="center" wrapText="1"/>
      <protection hidden="1"/>
    </xf>
    <xf numFmtId="1" fontId="49" fillId="41" borderId="0" xfId="80" applyNumberFormat="1" applyFont="1" applyFill="1" applyBorder="1" applyProtection="1">
      <alignment/>
      <protection hidden="1"/>
    </xf>
    <xf numFmtId="1" fontId="48" fillId="41" borderId="0" xfId="80" applyNumberFormat="1" applyFont="1" applyFill="1" applyBorder="1" applyProtection="1">
      <alignment/>
      <protection hidden="1"/>
    </xf>
    <xf numFmtId="169" fontId="48" fillId="41" borderId="0" xfId="80" applyNumberFormat="1" applyFont="1" applyFill="1" applyBorder="1" applyAlignment="1" applyProtection="1">
      <alignment shrinkToFit="1"/>
      <protection hidden="1"/>
    </xf>
    <xf numFmtId="14" fontId="3" fillId="42" borderId="29" xfId="0" applyNumberFormat="1" applyFont="1" applyFill="1" applyBorder="1" applyAlignment="1" applyProtection="1">
      <alignment horizontal="center"/>
      <protection hidden="1"/>
    </xf>
    <xf numFmtId="14" fontId="38" fillId="42" borderId="27" xfId="0" applyNumberFormat="1" applyFont="1" applyFill="1" applyBorder="1" applyAlignment="1" applyProtection="1">
      <alignment horizontal="center"/>
      <protection hidden="1"/>
    </xf>
    <xf numFmtId="0" fontId="48" fillId="41" borderId="0" xfId="0" applyFont="1" applyFill="1" applyAlignment="1" applyProtection="1">
      <alignment/>
      <protection hidden="1"/>
    </xf>
    <xf numFmtId="0" fontId="49" fillId="41" borderId="0" xfId="0" applyFont="1" applyFill="1" applyAlignment="1" applyProtection="1">
      <alignment/>
      <protection hidden="1"/>
    </xf>
    <xf numFmtId="0" fontId="51" fillId="41" borderId="0" xfId="0" applyFont="1" applyFill="1" applyAlignment="1" applyProtection="1">
      <alignment/>
      <protection hidden="1"/>
    </xf>
    <xf numFmtId="0" fontId="52" fillId="41" borderId="0" xfId="0" applyFont="1" applyFill="1" applyBorder="1" applyAlignment="1" applyProtection="1">
      <alignment horizontal="center" wrapText="1"/>
      <protection hidden="1"/>
    </xf>
    <xf numFmtId="0" fontId="51" fillId="41" borderId="0" xfId="0" applyFont="1" applyFill="1" applyAlignment="1" applyProtection="1">
      <alignment/>
      <protection hidden="1"/>
    </xf>
    <xf numFmtId="0" fontId="52" fillId="41" borderId="0" xfId="0" applyFont="1" applyFill="1" applyAlignment="1" applyProtection="1">
      <alignment/>
      <protection hidden="1"/>
    </xf>
    <xf numFmtId="14" fontId="53" fillId="42" borderId="27" xfId="0" applyNumberFormat="1" applyFont="1" applyFill="1" applyBorder="1" applyAlignment="1" applyProtection="1">
      <alignment horizontal="right"/>
      <protection hidden="1"/>
    </xf>
    <xf numFmtId="0" fontId="54" fillId="41" borderId="0" xfId="0" applyFont="1" applyFill="1" applyAlignment="1">
      <alignment/>
    </xf>
    <xf numFmtId="0" fontId="54" fillId="41" borderId="0" xfId="0" applyNumberFormat="1" applyFont="1" applyFill="1" applyAlignment="1">
      <alignment/>
    </xf>
    <xf numFmtId="0" fontId="46" fillId="41" borderId="0" xfId="0" applyFont="1" applyFill="1" applyAlignment="1" applyProtection="1">
      <alignment/>
      <protection hidden="1"/>
    </xf>
    <xf numFmtId="0" fontId="50" fillId="41" borderId="0" xfId="0" applyFont="1" applyFill="1" applyAlignment="1" applyProtection="1">
      <alignment/>
      <protection hidden="1"/>
    </xf>
    <xf numFmtId="9" fontId="55" fillId="41" borderId="0" xfId="81" applyNumberFormat="1" applyFont="1" applyFill="1" applyBorder="1">
      <alignment/>
      <protection/>
    </xf>
    <xf numFmtId="0" fontId="55" fillId="41" borderId="0" xfId="81" applyFont="1" applyFill="1" applyBorder="1">
      <alignment/>
      <protection/>
    </xf>
    <xf numFmtId="0" fontId="56" fillId="41" borderId="0" xfId="0" applyFont="1" applyFill="1" applyAlignment="1">
      <alignment/>
    </xf>
    <xf numFmtId="0" fontId="57" fillId="41" borderId="0" xfId="81" applyFont="1" applyFill="1" applyBorder="1" applyProtection="1">
      <alignment/>
      <protection hidden="1"/>
    </xf>
    <xf numFmtId="0" fontId="57" fillId="41" borderId="0" xfId="81" applyFont="1" applyFill="1" applyBorder="1" applyAlignment="1" applyProtection="1" quotePrefix="1">
      <alignment horizontal="left"/>
      <protection hidden="1"/>
    </xf>
    <xf numFmtId="0" fontId="57" fillId="41" borderId="0" xfId="81" applyFont="1" applyFill="1" applyBorder="1" applyAlignment="1" applyProtection="1">
      <alignment horizontal="left"/>
      <protection hidden="1"/>
    </xf>
    <xf numFmtId="0" fontId="58" fillId="41" borderId="0" xfId="81" applyFont="1" applyFill="1">
      <alignment/>
      <protection/>
    </xf>
    <xf numFmtId="169" fontId="55" fillId="41" borderId="0" xfId="81" applyNumberFormat="1" applyFont="1" applyFill="1" applyBorder="1">
      <alignment/>
      <protection/>
    </xf>
    <xf numFmtId="169" fontId="59" fillId="41" borderId="0" xfId="81" applyNumberFormat="1" applyFont="1" applyFill="1" applyBorder="1">
      <alignment/>
      <protection/>
    </xf>
    <xf numFmtId="3" fontId="55" fillId="41" borderId="0" xfId="81" applyNumberFormat="1" applyFont="1" applyFill="1" applyBorder="1">
      <alignment/>
      <protection/>
    </xf>
    <xf numFmtId="0" fontId="46" fillId="41" borderId="0" xfId="78" applyFont="1" applyFill="1" applyBorder="1" applyProtection="1">
      <alignment/>
      <protection hidden="1"/>
    </xf>
    <xf numFmtId="0" fontId="50" fillId="41" borderId="0" xfId="78" applyFont="1" applyFill="1" applyBorder="1" applyAlignment="1" applyProtection="1">
      <alignment horizontal="center" vertical="top" wrapText="1"/>
      <protection hidden="1"/>
    </xf>
    <xf numFmtId="0" fontId="56" fillId="41" borderId="0" xfId="82" applyNumberFormat="1" applyFont="1" applyFill="1" applyProtection="1">
      <alignment/>
      <protection hidden="1"/>
    </xf>
    <xf numFmtId="0" fontId="56" fillId="41" borderId="0" xfId="82" applyNumberFormat="1" applyFont="1" applyFill="1" applyBorder="1" applyProtection="1">
      <alignment/>
      <protection hidden="1"/>
    </xf>
    <xf numFmtId="4" fontId="61" fillId="41" borderId="0" xfId="82" applyNumberFormat="1" applyFont="1" applyFill="1" applyBorder="1" applyAlignment="1" applyProtection="1">
      <alignment horizontal="right"/>
      <protection hidden="1"/>
    </xf>
    <xf numFmtId="0" fontId="56" fillId="41" borderId="0" xfId="82" applyNumberFormat="1" applyFont="1" applyFill="1" applyAlignment="1" applyProtection="1">
      <alignment horizontal="left"/>
      <protection hidden="1"/>
    </xf>
    <xf numFmtId="0" fontId="62" fillId="41" borderId="0" xfId="82" applyNumberFormat="1" applyFont="1" applyFill="1" applyProtection="1">
      <alignment/>
      <protection hidden="1"/>
    </xf>
    <xf numFmtId="0" fontId="63" fillId="41" borderId="0" xfId="82" applyNumberFormat="1" applyFont="1" applyFill="1" applyProtection="1">
      <alignment/>
      <protection hidden="1"/>
    </xf>
    <xf numFmtId="4" fontId="61" fillId="41" borderId="0" xfId="82" applyNumberFormat="1" applyFont="1" applyFill="1" applyAlignment="1" applyProtection="1">
      <alignment horizontal="right"/>
      <protection hidden="1"/>
    </xf>
    <xf numFmtId="0" fontId="64" fillId="41" borderId="0" xfId="82" applyFont="1" applyFill="1" applyProtection="1">
      <alignment/>
      <protection hidden="1"/>
    </xf>
    <xf numFmtId="0" fontId="56" fillId="41" borderId="0" xfId="82" applyFont="1" applyFill="1" applyProtection="1">
      <alignment/>
      <protection hidden="1"/>
    </xf>
    <xf numFmtId="0" fontId="56" fillId="41" borderId="0" xfId="82" applyFont="1" applyFill="1" applyAlignment="1" applyProtection="1">
      <alignment horizontal="left"/>
      <protection hidden="1"/>
    </xf>
    <xf numFmtId="0" fontId="56" fillId="41" borderId="0" xfId="82" applyFont="1" applyFill="1" applyAlignment="1" applyProtection="1">
      <alignment horizontal="center"/>
      <protection hidden="1"/>
    </xf>
    <xf numFmtId="0" fontId="63" fillId="41" borderId="0" xfId="82" applyNumberFormat="1" applyFont="1" applyFill="1" applyProtection="1">
      <alignment/>
      <protection hidden="1"/>
    </xf>
    <xf numFmtId="176" fontId="56" fillId="41" borderId="0" xfId="82" applyNumberFormat="1" applyFont="1" applyFill="1" applyBorder="1" applyAlignment="1" applyProtection="1">
      <alignment horizontal="left"/>
      <protection hidden="1"/>
    </xf>
    <xf numFmtId="0" fontId="62" fillId="41" borderId="0" xfId="82" applyNumberFormat="1" applyFont="1" applyFill="1" applyProtection="1">
      <alignment/>
      <protection hidden="1"/>
    </xf>
    <xf numFmtId="0" fontId="56" fillId="41" borderId="0" xfId="82" applyNumberFormat="1" applyFont="1" applyFill="1" applyAlignment="1" applyProtection="1">
      <alignment horizontal="right"/>
      <protection hidden="1"/>
    </xf>
    <xf numFmtId="0" fontId="56" fillId="41" borderId="0" xfId="82" applyNumberFormat="1" applyFont="1" applyFill="1" applyAlignment="1" applyProtection="1">
      <alignment horizontal="right"/>
      <protection hidden="1"/>
    </xf>
    <xf numFmtId="171" fontId="37" fillId="42" borderId="32" xfId="96" applyNumberFormat="1" applyFont="1" applyFill="1" applyBorder="1" applyAlignment="1" applyProtection="1">
      <alignment shrinkToFit="1"/>
      <protection hidden="1" locked="0"/>
    </xf>
    <xf numFmtId="171" fontId="37" fillId="42" borderId="37" xfId="96" applyNumberFormat="1" applyFont="1" applyFill="1" applyBorder="1" applyAlignment="1" applyProtection="1">
      <alignment/>
      <protection hidden="1" locked="0"/>
    </xf>
    <xf numFmtId="171" fontId="37" fillId="42" borderId="36" xfId="96" applyNumberFormat="1" applyFont="1" applyFill="1" applyBorder="1" applyAlignment="1" applyProtection="1">
      <alignment horizontal="left"/>
      <protection hidden="1" locked="0"/>
    </xf>
    <xf numFmtId="171" fontId="37" fillId="42" borderId="38" xfId="96" applyNumberFormat="1" applyFont="1" applyFill="1" applyBorder="1" applyAlignment="1" applyProtection="1">
      <alignment horizontal="left"/>
      <protection hidden="1" locked="0"/>
    </xf>
    <xf numFmtId="171" fontId="3" fillId="10" borderId="33" xfId="96" applyNumberFormat="1" applyFont="1" applyFill="1" applyBorder="1" applyAlignment="1" applyProtection="1">
      <alignment shrinkToFit="1"/>
      <protection hidden="1"/>
    </xf>
    <xf numFmtId="171" fontId="3" fillId="10" borderId="37" xfId="96" applyNumberFormat="1" applyFont="1" applyFill="1" applyBorder="1" applyAlignment="1" applyProtection="1">
      <alignment shrinkToFit="1"/>
      <protection hidden="1"/>
    </xf>
    <xf numFmtId="171" fontId="3" fillId="10" borderId="39" xfId="96" applyNumberFormat="1" applyFont="1" applyFill="1" applyBorder="1" applyAlignment="1" applyProtection="1">
      <alignment shrinkToFit="1"/>
      <protection hidden="1"/>
    </xf>
    <xf numFmtId="171" fontId="37" fillId="42" borderId="32" xfId="96" applyNumberFormat="1" applyFont="1" applyFill="1" applyBorder="1" applyAlignment="1" applyProtection="1">
      <alignment/>
      <protection hidden="1" locked="0"/>
    </xf>
    <xf numFmtId="171" fontId="37" fillId="42" borderId="36" xfId="96" applyNumberFormat="1" applyFont="1" applyFill="1" applyBorder="1" applyAlignment="1" applyProtection="1">
      <alignment/>
      <protection hidden="1" locked="0"/>
    </xf>
    <xf numFmtId="171" fontId="37" fillId="42" borderId="44" xfId="96" applyNumberFormat="1" applyFont="1" applyFill="1" applyBorder="1" applyAlignment="1" applyProtection="1">
      <alignment/>
      <protection hidden="1" locked="0"/>
    </xf>
    <xf numFmtId="171" fontId="3" fillId="10" borderId="32" xfId="96" applyNumberFormat="1" applyFont="1" applyFill="1" applyBorder="1" applyAlignment="1" applyProtection="1">
      <alignment shrinkToFit="1"/>
      <protection hidden="1"/>
    </xf>
    <xf numFmtId="171" fontId="3" fillId="10" borderId="36" xfId="96" applyNumberFormat="1" applyFont="1" applyFill="1" applyBorder="1" applyAlignment="1" applyProtection="1">
      <alignment shrinkToFit="1"/>
      <protection hidden="1"/>
    </xf>
    <xf numFmtId="171" fontId="3" fillId="10" borderId="17" xfId="96" applyNumberFormat="1" applyFont="1" applyFill="1" applyBorder="1" applyAlignment="1" applyProtection="1">
      <alignment shrinkToFit="1"/>
      <protection hidden="1"/>
    </xf>
    <xf numFmtId="171" fontId="3" fillId="42" borderId="31" xfId="0" applyNumberFormat="1" applyFont="1" applyFill="1" applyBorder="1" applyAlignment="1" applyProtection="1">
      <alignment shrinkToFit="1"/>
      <protection hidden="1"/>
    </xf>
    <xf numFmtId="171" fontId="3" fillId="42" borderId="26" xfId="96" applyNumberFormat="1" applyFont="1" applyFill="1" applyBorder="1" applyAlignment="1" applyProtection="1">
      <alignment shrinkToFit="1"/>
      <protection hidden="1"/>
    </xf>
    <xf numFmtId="171" fontId="3" fillId="10" borderId="1" xfId="96" applyNumberFormat="1" applyFont="1" applyFill="1" applyBorder="1" applyAlignment="1" applyProtection="1">
      <alignment shrinkToFit="1"/>
      <protection hidden="1"/>
    </xf>
    <xf numFmtId="171" fontId="3" fillId="42" borderId="17" xfId="96" applyNumberFormat="1" applyFont="1" applyFill="1" applyBorder="1" applyAlignment="1" applyProtection="1">
      <alignment shrinkToFit="1"/>
      <protection hidden="1"/>
    </xf>
    <xf numFmtId="171" fontId="3" fillId="10" borderId="26" xfId="96" applyNumberFormat="1" applyFont="1" applyFill="1" applyBorder="1" applyAlignment="1" applyProtection="1">
      <alignment shrinkToFit="1"/>
      <protection hidden="1"/>
    </xf>
    <xf numFmtId="171" fontId="4" fillId="42" borderId="17" xfId="96" applyNumberFormat="1" applyFont="1" applyFill="1" applyBorder="1" applyAlignment="1" applyProtection="1">
      <alignment/>
      <protection hidden="1"/>
    </xf>
    <xf numFmtId="171" fontId="36" fillId="42" borderId="1" xfId="96" applyNumberFormat="1" applyFont="1" applyFill="1" applyBorder="1" applyAlignment="1" applyProtection="1">
      <alignment/>
      <protection hidden="1"/>
    </xf>
    <xf numFmtId="171" fontId="37" fillId="10" borderId="32" xfId="0" applyNumberFormat="1" applyFont="1" applyFill="1" applyBorder="1" applyAlignment="1" applyProtection="1">
      <alignment shrinkToFit="1"/>
      <protection hidden="1"/>
    </xf>
    <xf numFmtId="171" fontId="37" fillId="10" borderId="38" xfId="0" applyNumberFormat="1" applyFont="1" applyFill="1" applyBorder="1" applyAlignment="1" applyProtection="1">
      <alignment shrinkToFit="1"/>
      <protection hidden="1"/>
    </xf>
    <xf numFmtId="171" fontId="37" fillId="10" borderId="1" xfId="0" applyNumberFormat="1" applyFont="1" applyFill="1" applyBorder="1" applyAlignment="1" applyProtection="1">
      <alignment shrinkToFit="1"/>
      <protection hidden="1"/>
    </xf>
    <xf numFmtId="171" fontId="6" fillId="42" borderId="1" xfId="0" applyNumberFormat="1" applyFont="1" applyFill="1" applyBorder="1" applyAlignment="1" applyProtection="1">
      <alignment/>
      <protection hidden="1"/>
    </xf>
    <xf numFmtId="171" fontId="36" fillId="10" borderId="1" xfId="0" applyNumberFormat="1" applyFont="1" applyFill="1" applyBorder="1" applyAlignment="1" applyProtection="1">
      <alignment shrinkToFit="1"/>
      <protection hidden="1"/>
    </xf>
    <xf numFmtId="171" fontId="37" fillId="42" borderId="32" xfId="0" applyNumberFormat="1" applyFont="1" applyFill="1" applyBorder="1" applyAlignment="1" applyProtection="1">
      <alignment shrinkToFit="1"/>
      <protection hidden="1"/>
    </xf>
    <xf numFmtId="171" fontId="37" fillId="42" borderId="38" xfId="0" applyNumberFormat="1" applyFont="1" applyFill="1" applyBorder="1" applyAlignment="1" applyProtection="1">
      <alignment shrinkToFit="1"/>
      <protection hidden="1"/>
    </xf>
    <xf numFmtId="171" fontId="37" fillId="10" borderId="1" xfId="0" applyNumberFormat="1" applyFont="1" applyFill="1" applyBorder="1" applyAlignment="1" applyProtection="1">
      <alignment horizontal="center" shrinkToFit="1"/>
      <protection hidden="1"/>
    </xf>
    <xf numFmtId="171" fontId="36" fillId="42" borderId="1" xfId="0" applyNumberFormat="1" applyFont="1" applyFill="1" applyBorder="1" applyAlignment="1" applyProtection="1">
      <alignment horizontal="center" shrinkToFit="1"/>
      <protection hidden="1"/>
    </xf>
    <xf numFmtId="171" fontId="6" fillId="42" borderId="25" xfId="0" applyNumberFormat="1" applyFont="1" applyFill="1" applyBorder="1" applyAlignment="1" applyProtection="1">
      <alignment/>
      <protection hidden="1"/>
    </xf>
    <xf numFmtId="171" fontId="6" fillId="42" borderId="17" xfId="0" applyNumberFormat="1" applyFont="1" applyFill="1" applyBorder="1" applyAlignment="1" applyProtection="1">
      <alignment/>
      <protection hidden="1"/>
    </xf>
    <xf numFmtId="171" fontId="37" fillId="42" borderId="33" xfId="0" applyNumberFormat="1" applyFont="1" applyFill="1" applyBorder="1" applyAlignment="1" applyProtection="1">
      <alignment shrinkToFit="1"/>
      <protection hidden="1"/>
    </xf>
    <xf numFmtId="171" fontId="37" fillId="42" borderId="39" xfId="0" applyNumberFormat="1" applyFont="1" applyFill="1" applyBorder="1" applyAlignment="1" applyProtection="1">
      <alignment shrinkToFit="1"/>
      <protection hidden="1"/>
    </xf>
    <xf numFmtId="171" fontId="37" fillId="42" borderId="1" xfId="0" applyNumberFormat="1" applyFont="1" applyFill="1" applyBorder="1" applyAlignment="1" applyProtection="1">
      <alignment shrinkToFit="1"/>
      <protection hidden="1"/>
    </xf>
    <xf numFmtId="171" fontId="37" fillId="42" borderId="17" xfId="0" applyNumberFormat="1" applyFont="1" applyFill="1" applyBorder="1" applyAlignment="1" applyProtection="1">
      <alignment horizontal="center" shrinkToFit="1"/>
      <protection hidden="1"/>
    </xf>
    <xf numFmtId="171" fontId="42" fillId="42" borderId="32" xfId="0" applyNumberFormat="1" applyFont="1" applyFill="1" applyBorder="1" applyAlignment="1" applyProtection="1">
      <alignment shrinkToFit="1"/>
      <protection hidden="1"/>
    </xf>
    <xf numFmtId="171" fontId="42" fillId="42" borderId="32" xfId="0" applyNumberFormat="1" applyFont="1" applyFill="1" applyBorder="1" applyAlignment="1" applyProtection="1">
      <alignment horizontal="center" vertical="center" shrinkToFit="1"/>
      <protection hidden="1"/>
    </xf>
    <xf numFmtId="171" fontId="42" fillId="42" borderId="32" xfId="0" applyNumberFormat="1" applyFont="1" applyFill="1" applyBorder="1" applyAlignment="1" applyProtection="1">
      <alignment vertical="center" shrinkToFit="1"/>
      <protection hidden="1"/>
    </xf>
    <xf numFmtId="171" fontId="42" fillId="42" borderId="36" xfId="0" applyNumberFormat="1" applyFont="1" applyFill="1" applyBorder="1" applyAlignment="1" applyProtection="1">
      <alignment shrinkToFit="1"/>
      <protection hidden="1"/>
    </xf>
    <xf numFmtId="171" fontId="42" fillId="42" borderId="36" xfId="0" applyNumberFormat="1" applyFont="1" applyFill="1" applyBorder="1" applyAlignment="1" applyProtection="1">
      <alignment horizontal="center" vertical="center" shrinkToFit="1"/>
      <protection hidden="1"/>
    </xf>
    <xf numFmtId="171" fontId="42" fillId="42" borderId="36" xfId="0" applyNumberFormat="1" applyFont="1" applyFill="1" applyBorder="1" applyAlignment="1" applyProtection="1">
      <alignment vertical="center" shrinkToFit="1"/>
      <protection hidden="1"/>
    </xf>
    <xf numFmtId="171" fontId="42" fillId="42" borderId="38" xfId="0" applyNumberFormat="1" applyFont="1" applyFill="1" applyBorder="1" applyAlignment="1" applyProtection="1">
      <alignment shrinkToFit="1"/>
      <protection hidden="1"/>
    </xf>
    <xf numFmtId="171" fontId="42" fillId="42" borderId="38" xfId="0" applyNumberFormat="1" applyFont="1" applyFill="1" applyBorder="1" applyAlignment="1" applyProtection="1">
      <alignment horizontal="center" vertical="center" shrinkToFit="1"/>
      <protection hidden="1"/>
    </xf>
    <xf numFmtId="171" fontId="42" fillId="42" borderId="38" xfId="0" applyNumberFormat="1" applyFont="1" applyFill="1" applyBorder="1" applyAlignment="1" applyProtection="1">
      <alignment vertical="center" shrinkToFit="1"/>
      <protection hidden="1"/>
    </xf>
    <xf numFmtId="171" fontId="36" fillId="42" borderId="0" xfId="0" applyNumberFormat="1" applyFont="1" applyFill="1" applyBorder="1" applyAlignment="1" applyProtection="1">
      <alignment shrinkToFit="1"/>
      <protection hidden="1"/>
    </xf>
    <xf numFmtId="171" fontId="41" fillId="42" borderId="1" xfId="0" applyNumberFormat="1" applyFont="1" applyFill="1" applyBorder="1" applyAlignment="1" applyProtection="1">
      <alignment shrinkToFit="1"/>
      <protection hidden="1"/>
    </xf>
    <xf numFmtId="169" fontId="46" fillId="41" borderId="0" xfId="0" applyNumberFormat="1" applyFont="1" applyFill="1" applyAlignment="1" applyProtection="1">
      <alignment shrinkToFit="1"/>
      <protection hidden="1"/>
    </xf>
    <xf numFmtId="0" fontId="46" fillId="41" borderId="0" xfId="0" applyFont="1" applyFill="1" applyBorder="1" applyAlignment="1" applyProtection="1">
      <alignment/>
      <protection hidden="1"/>
    </xf>
    <xf numFmtId="0" fontId="50" fillId="41" borderId="0" xfId="0" applyFont="1" applyFill="1" applyBorder="1" applyAlignment="1" applyProtection="1" quotePrefix="1">
      <alignment horizontal="center" vertical="center" wrapText="1"/>
      <protection hidden="1"/>
    </xf>
    <xf numFmtId="0" fontId="46" fillId="44" borderId="0" xfId="0" applyFont="1" applyFill="1" applyAlignment="1" applyProtection="1">
      <alignment vertical="center"/>
      <protection hidden="1"/>
    </xf>
    <xf numFmtId="0" fontId="50" fillId="41" borderId="0" xfId="0" applyFont="1" applyFill="1" applyBorder="1" applyAlignment="1" applyProtection="1">
      <alignment vertical="center" wrapText="1"/>
      <protection hidden="1"/>
    </xf>
    <xf numFmtId="0" fontId="46" fillId="41" borderId="0" xfId="0" applyFont="1" applyFill="1" applyBorder="1" applyAlignment="1" applyProtection="1">
      <alignment/>
      <protection locked="0"/>
    </xf>
    <xf numFmtId="0" fontId="46" fillId="41" borderId="0" xfId="0" applyFont="1" applyFill="1" applyBorder="1" applyAlignment="1" applyProtection="1">
      <alignment/>
      <protection/>
    </xf>
    <xf numFmtId="4" fontId="46" fillId="41" borderId="0" xfId="0" applyNumberFormat="1" applyFont="1" applyFill="1" applyBorder="1" applyAlignment="1" applyProtection="1">
      <alignment/>
      <protection/>
    </xf>
    <xf numFmtId="3" fontId="46" fillId="41" borderId="0" xfId="0" applyNumberFormat="1" applyFont="1" applyFill="1" applyBorder="1" applyAlignment="1" applyProtection="1">
      <alignment horizontal="right"/>
      <protection/>
    </xf>
    <xf numFmtId="3" fontId="46" fillId="41" borderId="0" xfId="0" applyNumberFormat="1" applyFont="1" applyFill="1" applyBorder="1" applyAlignment="1" applyProtection="1">
      <alignment/>
      <protection/>
    </xf>
    <xf numFmtId="1" fontId="46" fillId="41" borderId="0" xfId="0" applyNumberFormat="1" applyFont="1" applyFill="1" applyBorder="1" applyAlignment="1" applyProtection="1">
      <alignment horizontal="right"/>
      <protection/>
    </xf>
    <xf numFmtId="0" fontId="46" fillId="41" borderId="0" xfId="0" applyFont="1" applyFill="1" applyBorder="1" applyAlignment="1" applyProtection="1">
      <alignment horizontal="right"/>
      <protection/>
    </xf>
    <xf numFmtId="0" fontId="46" fillId="41" borderId="0" xfId="79" applyFont="1" applyFill="1" applyBorder="1" applyAlignment="1" applyProtection="1">
      <alignment horizontal="right" vertical="top"/>
      <protection/>
    </xf>
    <xf numFmtId="0" fontId="46" fillId="41" borderId="0" xfId="79" applyFont="1" applyFill="1" applyBorder="1" applyAlignment="1" applyProtection="1">
      <alignment vertical="top"/>
      <protection/>
    </xf>
    <xf numFmtId="0" fontId="46" fillId="41" borderId="0" xfId="79" applyFont="1" applyFill="1" applyBorder="1" applyAlignment="1" applyProtection="1">
      <alignment horizontal="right" vertical="center"/>
      <protection/>
    </xf>
    <xf numFmtId="0" fontId="46" fillId="41" borderId="0" xfId="79" applyFont="1" applyFill="1" applyBorder="1" applyAlignment="1" applyProtection="1">
      <alignment vertical="center"/>
      <protection/>
    </xf>
    <xf numFmtId="0" fontId="46" fillId="41" borderId="0" xfId="78" applyFont="1" applyFill="1" applyBorder="1" applyAlignment="1" applyProtection="1" quotePrefix="1">
      <alignment horizontal="center" vertical="center" wrapText="1"/>
      <protection locked="0"/>
    </xf>
    <xf numFmtId="171" fontId="46" fillId="41" borderId="0" xfId="78" applyNumberFormat="1" applyFont="1" applyFill="1" applyBorder="1" applyAlignment="1" applyProtection="1" quotePrefix="1">
      <alignment horizontal="center" vertical="top" wrapText="1"/>
      <protection locked="0"/>
    </xf>
    <xf numFmtId="169" fontId="46" fillId="41" borderId="0" xfId="78" applyNumberFormat="1" applyFont="1" applyFill="1" applyBorder="1" applyAlignment="1" applyProtection="1">
      <alignment horizontal="left" vertical="top" wrapText="1"/>
      <protection locked="0"/>
    </xf>
    <xf numFmtId="171" fontId="46" fillId="41" borderId="0" xfId="0" applyNumberFormat="1" applyFont="1" applyFill="1" applyBorder="1" applyAlignment="1" applyProtection="1" quotePrefix="1">
      <alignment horizontal="center" vertical="top" wrapText="1"/>
      <protection locked="0"/>
    </xf>
    <xf numFmtId="169" fontId="46" fillId="41" borderId="0" xfId="78" applyNumberFormat="1" applyFont="1" applyFill="1" applyBorder="1" applyAlignment="1" applyProtection="1">
      <alignment horizontal="left" vertical="top" wrapText="1"/>
      <protection hidden="1"/>
    </xf>
    <xf numFmtId="178" fontId="46" fillId="41" borderId="0" xfId="78" applyNumberFormat="1" applyFont="1" applyFill="1" applyBorder="1" applyAlignment="1" applyProtection="1" quotePrefix="1">
      <alignment horizontal="center" vertical="top" wrapText="1"/>
      <protection hidden="1"/>
    </xf>
    <xf numFmtId="0" fontId="46" fillId="41" borderId="0" xfId="78" applyNumberFormat="1" applyFont="1" applyFill="1" applyBorder="1" applyAlignment="1" applyProtection="1">
      <alignment horizontal="center" vertical="top" wrapText="1"/>
      <protection hidden="1"/>
    </xf>
    <xf numFmtId="0" fontId="4" fillId="42" borderId="9" xfId="0" applyFont="1" applyFill="1" applyBorder="1" applyAlignment="1" applyProtection="1">
      <alignment/>
      <protection hidden="1"/>
    </xf>
    <xf numFmtId="0" fontId="3" fillId="42" borderId="40" xfId="0" applyFont="1" applyFill="1" applyBorder="1" applyAlignment="1" applyProtection="1">
      <alignment/>
      <protection hidden="1"/>
    </xf>
    <xf numFmtId="0" fontId="3" fillId="42" borderId="45" xfId="0" applyFont="1" applyFill="1" applyBorder="1" applyAlignment="1" applyProtection="1">
      <alignment/>
      <protection hidden="1"/>
    </xf>
    <xf numFmtId="0" fontId="4" fillId="42" borderId="45" xfId="0" applyFont="1" applyFill="1" applyBorder="1" applyAlignment="1" applyProtection="1">
      <alignment/>
      <protection hidden="1"/>
    </xf>
    <xf numFmtId="171" fontId="3" fillId="42" borderId="45" xfId="0" applyNumberFormat="1" applyFont="1" applyFill="1" applyBorder="1" applyAlignment="1" applyProtection="1">
      <alignment/>
      <protection hidden="1"/>
    </xf>
    <xf numFmtId="171" fontId="3" fillId="42" borderId="0" xfId="0" applyNumberFormat="1" applyFont="1" applyFill="1" applyBorder="1" applyAlignment="1" applyProtection="1">
      <alignment/>
      <protection hidden="1"/>
    </xf>
    <xf numFmtId="0" fontId="3" fillId="42" borderId="0" xfId="0" applyFont="1" applyFill="1" applyBorder="1" applyAlignment="1" applyProtection="1">
      <alignment/>
      <protection hidden="1"/>
    </xf>
    <xf numFmtId="0" fontId="3" fillId="42" borderId="0" xfId="0" applyFont="1" applyFill="1" applyAlignment="1" applyProtection="1">
      <alignment/>
      <protection hidden="1"/>
    </xf>
    <xf numFmtId="0" fontId="4" fillId="42" borderId="0" xfId="0" applyFont="1" applyFill="1" applyAlignment="1" applyProtection="1">
      <alignment/>
      <protection hidden="1"/>
    </xf>
    <xf numFmtId="0" fontId="3" fillId="42" borderId="22" xfId="0" applyFont="1" applyFill="1" applyBorder="1" applyAlignment="1" applyProtection="1">
      <alignment/>
      <protection hidden="1"/>
    </xf>
    <xf numFmtId="0" fontId="3" fillId="41" borderId="0" xfId="0" applyFont="1" applyFill="1" applyAlignment="1" applyProtection="1">
      <alignment/>
      <protection hidden="1"/>
    </xf>
    <xf numFmtId="0" fontId="50" fillId="41" borderId="0" xfId="0" applyFont="1" applyFill="1" applyAlignment="1" applyProtection="1">
      <alignment horizontal="center" wrapText="1"/>
      <protection hidden="1"/>
    </xf>
    <xf numFmtId="0" fontId="50" fillId="41" borderId="0" xfId="0" applyFont="1" applyFill="1" applyBorder="1" applyAlignment="1" applyProtection="1">
      <alignment horizontal="center" wrapText="1"/>
      <protection hidden="1"/>
    </xf>
    <xf numFmtId="14" fontId="46" fillId="41" borderId="0" xfId="0" applyNumberFormat="1" applyFont="1" applyFill="1" applyBorder="1" applyAlignment="1" applyProtection="1">
      <alignment/>
      <protection hidden="1"/>
    </xf>
    <xf numFmtId="0" fontId="50" fillId="41" borderId="0" xfId="0" applyFont="1" applyFill="1" applyBorder="1" applyAlignment="1" applyProtection="1">
      <alignment horizontal="left" wrapText="1"/>
      <protection hidden="1"/>
    </xf>
    <xf numFmtId="0" fontId="50" fillId="41" borderId="0" xfId="0" applyFont="1" applyFill="1" applyBorder="1" applyAlignment="1" applyProtection="1" quotePrefix="1">
      <alignment horizontal="left" wrapText="1"/>
      <protection hidden="1"/>
    </xf>
    <xf numFmtId="0" fontId="46" fillId="41" borderId="0" xfId="0" applyFont="1" applyFill="1" applyBorder="1" applyAlignment="1" applyProtection="1">
      <alignment horizontal="center" vertical="center" wrapText="1"/>
      <protection hidden="1"/>
    </xf>
    <xf numFmtId="14" fontId="46" fillId="41" borderId="0" xfId="0" applyNumberFormat="1" applyFont="1" applyFill="1" applyBorder="1" applyAlignment="1" applyProtection="1">
      <alignment horizontal="center" vertical="center" wrapText="1"/>
      <protection hidden="1"/>
    </xf>
    <xf numFmtId="0" fontId="67" fillId="41" borderId="0" xfId="0" applyFont="1" applyFill="1" applyBorder="1" applyAlignment="1" applyProtection="1">
      <alignment wrapText="1"/>
      <protection hidden="1"/>
    </xf>
    <xf numFmtId="0" fontId="46" fillId="41" borderId="0" xfId="0" applyNumberFormat="1" applyFont="1" applyFill="1" applyBorder="1" applyAlignment="1" applyProtection="1">
      <alignment shrinkToFit="1"/>
      <protection hidden="1"/>
    </xf>
    <xf numFmtId="169" fontId="46" fillId="41" borderId="0" xfId="0" applyNumberFormat="1" applyFont="1" applyFill="1" applyBorder="1" applyAlignment="1" applyProtection="1">
      <alignment horizontal="center"/>
      <protection hidden="1"/>
    </xf>
    <xf numFmtId="169" fontId="46" fillId="41" borderId="0" xfId="0" applyNumberFormat="1" applyFont="1" applyFill="1" applyBorder="1" applyAlignment="1" applyProtection="1">
      <alignment shrinkToFit="1"/>
      <protection hidden="1"/>
    </xf>
    <xf numFmtId="0" fontId="46" fillId="41" borderId="0" xfId="0" applyFont="1" applyFill="1" applyBorder="1" applyAlignment="1" applyProtection="1">
      <alignment horizontal="center" vertical="center"/>
      <protection hidden="1"/>
    </xf>
    <xf numFmtId="0" fontId="46" fillId="41" borderId="0" xfId="0" applyFont="1" applyFill="1" applyBorder="1" applyAlignment="1" applyProtection="1">
      <alignment/>
      <protection hidden="1"/>
    </xf>
    <xf numFmtId="0" fontId="46" fillId="41" borderId="0" xfId="0" applyFont="1" applyFill="1" applyAlignment="1" applyProtection="1">
      <alignment/>
      <protection hidden="1"/>
    </xf>
    <xf numFmtId="0" fontId="46" fillId="41" borderId="0" xfId="0" applyFont="1" applyFill="1" applyBorder="1" applyAlignment="1" applyProtection="1">
      <alignment horizontal="center"/>
      <protection hidden="1"/>
    </xf>
    <xf numFmtId="0" fontId="50" fillId="41" borderId="0" xfId="0" applyFont="1" applyFill="1" applyBorder="1" applyAlignment="1" applyProtection="1">
      <alignment vertical="top" wrapText="1"/>
      <protection hidden="1"/>
    </xf>
    <xf numFmtId="0" fontId="50" fillId="41" borderId="0" xfId="0" applyFont="1" applyFill="1" applyBorder="1" applyAlignment="1" applyProtection="1" quotePrefix="1">
      <alignment horizontal="center" wrapText="1"/>
      <protection hidden="1"/>
    </xf>
    <xf numFmtId="14" fontId="46" fillId="41" borderId="0" xfId="0" applyNumberFormat="1" applyFont="1" applyFill="1" applyBorder="1" applyAlignment="1" applyProtection="1">
      <alignment/>
      <protection hidden="1"/>
    </xf>
    <xf numFmtId="1" fontId="46" fillId="41" borderId="0" xfId="0" applyNumberFormat="1" applyFont="1" applyFill="1" applyBorder="1" applyAlignment="1" applyProtection="1">
      <alignment/>
      <protection hidden="1"/>
    </xf>
    <xf numFmtId="169" fontId="46" fillId="41" borderId="0" xfId="0" applyNumberFormat="1" applyFont="1" applyFill="1" applyBorder="1" applyAlignment="1" applyProtection="1">
      <alignment/>
      <protection hidden="1"/>
    </xf>
    <xf numFmtId="1" fontId="46" fillId="41" borderId="0" xfId="0" applyNumberFormat="1" applyFont="1" applyFill="1" applyBorder="1" applyAlignment="1" applyProtection="1">
      <alignment/>
      <protection hidden="1"/>
    </xf>
    <xf numFmtId="0" fontId="50" fillId="41" borderId="0" xfId="0" applyFont="1" applyFill="1" applyBorder="1" applyAlignment="1" applyProtection="1">
      <alignment/>
      <protection hidden="1"/>
    </xf>
    <xf numFmtId="0" fontId="46" fillId="41" borderId="0" xfId="0" applyNumberFormat="1" applyFont="1" applyFill="1" applyBorder="1" applyAlignment="1" applyProtection="1">
      <alignment/>
      <protection hidden="1"/>
    </xf>
    <xf numFmtId="0" fontId="46" fillId="41" borderId="0" xfId="0" applyNumberFormat="1" applyFont="1" applyFill="1" applyBorder="1" applyAlignment="1" applyProtection="1">
      <alignment horizontal="left"/>
      <protection hidden="1"/>
    </xf>
    <xf numFmtId="171" fontId="46" fillId="41" borderId="0" xfId="0" applyNumberFormat="1" applyFont="1" applyFill="1" applyBorder="1" applyAlignment="1" applyProtection="1">
      <alignment horizontal="center"/>
      <protection hidden="1"/>
    </xf>
    <xf numFmtId="169" fontId="46" fillId="41" borderId="0" xfId="0" applyNumberFormat="1" applyFont="1" applyFill="1" applyBorder="1" applyAlignment="1" applyProtection="1">
      <alignment/>
      <protection hidden="1"/>
    </xf>
    <xf numFmtId="171" fontId="46" fillId="41" borderId="0" xfId="0" applyNumberFormat="1" applyFont="1" applyFill="1" applyBorder="1" applyAlignment="1" applyProtection="1">
      <alignment/>
      <protection hidden="1"/>
    </xf>
    <xf numFmtId="171" fontId="46" fillId="41" borderId="0" xfId="0" applyNumberFormat="1" applyFont="1" applyFill="1" applyBorder="1" applyAlignment="1" applyProtection="1">
      <alignment shrinkToFit="1"/>
      <protection hidden="1"/>
    </xf>
    <xf numFmtId="0" fontId="3" fillId="41" borderId="0" xfId="78" applyFont="1" applyFill="1" applyBorder="1" applyProtection="1">
      <alignment/>
      <protection hidden="1"/>
    </xf>
    <xf numFmtId="0" fontId="4" fillId="41" borderId="0" xfId="78" applyFont="1" applyFill="1" applyBorder="1" applyAlignment="1" applyProtection="1">
      <alignment horizontal="center"/>
      <protection hidden="1"/>
    </xf>
    <xf numFmtId="14" fontId="3" fillId="41" borderId="0" xfId="78" applyNumberFormat="1" applyFont="1" applyFill="1" applyBorder="1" applyProtection="1">
      <alignment/>
      <protection hidden="1"/>
    </xf>
    <xf numFmtId="0" fontId="4" fillId="41" borderId="0" xfId="78" applyFont="1" applyFill="1" applyBorder="1" applyAlignment="1" applyProtection="1">
      <alignment horizontal="center" vertical="top" wrapText="1"/>
      <protection hidden="1"/>
    </xf>
    <xf numFmtId="169" fontId="3" fillId="41" borderId="0" xfId="78" applyNumberFormat="1" applyFont="1" applyFill="1" applyBorder="1" applyAlignment="1" applyProtection="1">
      <alignment vertical="top" wrapText="1"/>
      <protection hidden="1"/>
    </xf>
    <xf numFmtId="0" fontId="4" fillId="41" borderId="0" xfId="78" applyFont="1" applyFill="1" applyBorder="1" applyAlignment="1" applyProtection="1">
      <alignment horizontal="center" wrapText="1"/>
      <protection hidden="1"/>
    </xf>
    <xf numFmtId="0" fontId="3" fillId="41" borderId="0" xfId="78" applyNumberFormat="1" applyFont="1" applyFill="1" applyBorder="1" applyProtection="1">
      <alignment/>
      <protection hidden="1"/>
    </xf>
    <xf numFmtId="3" fontId="3" fillId="41" borderId="0" xfId="78" applyNumberFormat="1" applyFont="1" applyFill="1" applyBorder="1" applyAlignment="1" applyProtection="1" quotePrefix="1">
      <alignment horizontal="center" vertical="top" wrapText="1"/>
      <protection hidden="1"/>
    </xf>
    <xf numFmtId="169" fontId="3" fillId="41" borderId="0" xfId="78" applyNumberFormat="1" applyFont="1" applyFill="1" applyBorder="1" applyAlignment="1" applyProtection="1" quotePrefix="1">
      <alignment horizontal="center" vertical="top" wrapText="1"/>
      <protection hidden="1"/>
    </xf>
    <xf numFmtId="0" fontId="3" fillId="42" borderId="16" xfId="78" applyFont="1" applyFill="1" applyBorder="1" applyProtection="1">
      <alignment/>
      <protection locked="0"/>
    </xf>
    <xf numFmtId="169" fontId="3" fillId="10" borderId="9" xfId="0" applyNumberFormat="1" applyFont="1" applyFill="1" applyBorder="1" applyAlignment="1" applyProtection="1">
      <alignment horizontal="center" vertical="center" wrapText="1"/>
      <protection hidden="1"/>
    </xf>
    <xf numFmtId="0" fontId="68" fillId="41" borderId="0" xfId="0" applyFont="1" applyFill="1" applyBorder="1" applyAlignment="1">
      <alignment/>
    </xf>
    <xf numFmtId="0" fontId="69" fillId="41" borderId="0" xfId="0" applyFont="1" applyFill="1" applyBorder="1" applyAlignment="1">
      <alignment/>
    </xf>
    <xf numFmtId="0" fontId="68" fillId="41" borderId="0" xfId="0" applyFont="1" applyFill="1" applyBorder="1" applyAlignment="1" applyProtection="1">
      <alignment/>
      <protection hidden="1"/>
    </xf>
    <xf numFmtId="169" fontId="68" fillId="41" borderId="0" xfId="0" applyNumberFormat="1" applyFont="1" applyFill="1" applyBorder="1" applyAlignment="1" applyProtection="1">
      <alignment/>
      <protection hidden="1"/>
    </xf>
    <xf numFmtId="1" fontId="68" fillId="41" borderId="0" xfId="0" applyNumberFormat="1" applyFont="1" applyFill="1" applyBorder="1" applyAlignment="1">
      <alignment/>
    </xf>
    <xf numFmtId="14" fontId="68" fillId="41" borderId="0" xfId="0" applyNumberFormat="1" applyFont="1" applyFill="1" applyBorder="1" applyAlignment="1">
      <alignment/>
    </xf>
    <xf numFmtId="3" fontId="68" fillId="41" borderId="0" xfId="0" applyNumberFormat="1" applyFont="1" applyFill="1" applyBorder="1" applyAlignment="1">
      <alignment/>
    </xf>
    <xf numFmtId="0" fontId="52" fillId="41" borderId="0" xfId="0" applyFont="1" applyFill="1" applyAlignment="1" applyProtection="1">
      <alignment horizontal="center" wrapText="1"/>
      <protection hidden="1"/>
    </xf>
    <xf numFmtId="0" fontId="51" fillId="42" borderId="14" xfId="0" applyFont="1" applyFill="1" applyBorder="1" applyAlignment="1" applyProtection="1">
      <alignment/>
      <protection hidden="1"/>
    </xf>
    <xf numFmtId="0" fontId="51" fillId="42" borderId="16" xfId="0" applyFont="1" applyFill="1" applyBorder="1" applyAlignment="1" applyProtection="1">
      <alignment horizontal="center" vertical="center" wrapText="1"/>
      <protection hidden="1"/>
    </xf>
    <xf numFmtId="0" fontId="70" fillId="42" borderId="16" xfId="0" applyFont="1" applyFill="1" applyBorder="1" applyAlignment="1" applyProtection="1">
      <alignment wrapText="1"/>
      <protection hidden="1"/>
    </xf>
    <xf numFmtId="0" fontId="51" fillId="42" borderId="16" xfId="0" applyFont="1" applyFill="1" applyBorder="1" applyAlignment="1" applyProtection="1">
      <alignment/>
      <protection hidden="1"/>
    </xf>
    <xf numFmtId="0" fontId="51" fillId="42" borderId="16" xfId="0" applyFont="1" applyFill="1" applyBorder="1" applyAlignment="1" applyProtection="1">
      <alignment/>
      <protection hidden="1"/>
    </xf>
    <xf numFmtId="0" fontId="52" fillId="42" borderId="46" xfId="0" applyFont="1" applyFill="1" applyBorder="1" applyAlignment="1" applyProtection="1">
      <alignment vertical="top" wrapText="1"/>
      <protection hidden="1"/>
    </xf>
    <xf numFmtId="1" fontId="51" fillId="42" borderId="16" xfId="0" applyNumberFormat="1" applyFont="1" applyFill="1" applyBorder="1" applyAlignment="1" applyProtection="1">
      <alignment/>
      <protection hidden="1"/>
    </xf>
    <xf numFmtId="0" fontId="52" fillId="42" borderId="16" xfId="0" applyFont="1" applyFill="1" applyBorder="1" applyAlignment="1" applyProtection="1">
      <alignment/>
      <protection hidden="1"/>
    </xf>
    <xf numFmtId="0" fontId="51" fillId="42" borderId="16" xfId="0" applyNumberFormat="1" applyFont="1" applyFill="1" applyBorder="1" applyAlignment="1" applyProtection="1">
      <alignment/>
      <protection hidden="1"/>
    </xf>
    <xf numFmtId="0" fontId="51" fillId="42" borderId="23" xfId="0" applyFont="1" applyFill="1" applyBorder="1" applyAlignment="1" applyProtection="1">
      <alignment/>
      <protection hidden="1"/>
    </xf>
    <xf numFmtId="0" fontId="37" fillId="42" borderId="1" xfId="78" applyNumberFormat="1" applyFont="1" applyFill="1" applyBorder="1" applyAlignment="1" applyProtection="1">
      <alignment horizontal="left" vertical="top" wrapText="1"/>
      <protection locked="0"/>
    </xf>
    <xf numFmtId="169" fontId="37" fillId="42" borderId="1" xfId="78" applyNumberFormat="1" applyFont="1" applyFill="1" applyBorder="1" applyAlignment="1" applyProtection="1">
      <alignment horizontal="left" vertical="top" wrapText="1"/>
      <protection locked="0"/>
    </xf>
    <xf numFmtId="169" fontId="37" fillId="42" borderId="1" xfId="78" applyNumberFormat="1" applyFont="1" applyFill="1" applyBorder="1" applyAlignment="1" applyProtection="1" quotePrefix="1">
      <alignment horizontal="left" vertical="top" wrapText="1"/>
      <protection locked="0"/>
    </xf>
    <xf numFmtId="0" fontId="37" fillId="42" borderId="0" xfId="78" applyFont="1" applyFill="1" applyBorder="1" applyProtection="1">
      <alignment/>
      <protection locked="0"/>
    </xf>
    <xf numFmtId="169" fontId="3" fillId="42" borderId="1" xfId="78" applyNumberFormat="1" applyFont="1" applyFill="1" applyBorder="1" applyAlignment="1" applyProtection="1">
      <alignment horizontal="left" vertical="top" wrapText="1"/>
      <protection locked="0"/>
    </xf>
    <xf numFmtId="169" fontId="3" fillId="42" borderId="1" xfId="78" applyNumberFormat="1" applyFont="1" applyFill="1" applyBorder="1" applyAlignment="1" applyProtection="1">
      <alignment horizontal="left" vertical="top" wrapText="1"/>
      <protection hidden="1"/>
    </xf>
    <xf numFmtId="0" fontId="37" fillId="41" borderId="0" xfId="78" applyFont="1" applyFill="1" applyProtection="1">
      <alignment/>
      <protection hidden="1"/>
    </xf>
    <xf numFmtId="0" fontId="3" fillId="41" borderId="0" xfId="78" applyFont="1" applyFill="1" applyProtection="1">
      <alignment/>
      <protection hidden="1"/>
    </xf>
    <xf numFmtId="0" fontId="37" fillId="42" borderId="15" xfId="78" applyFont="1" applyFill="1" applyBorder="1" applyAlignment="1" applyProtection="1">
      <alignment horizontal="center"/>
      <protection locked="0"/>
    </xf>
    <xf numFmtId="0" fontId="37" fillId="42" borderId="47" xfId="78" applyFont="1" applyFill="1" applyBorder="1" applyAlignment="1" applyProtection="1" quotePrefix="1">
      <alignment horizontal="center" vertical="center" wrapText="1"/>
      <protection locked="0"/>
    </xf>
    <xf numFmtId="171" fontId="3" fillId="42" borderId="48" xfId="78" applyNumberFormat="1" applyFont="1" applyFill="1" applyBorder="1" applyAlignment="1" applyProtection="1" quotePrefix="1">
      <alignment horizontal="center" vertical="top" wrapText="1"/>
      <protection locked="0"/>
    </xf>
    <xf numFmtId="0" fontId="37" fillId="42" borderId="47" xfId="78" applyNumberFormat="1" applyFont="1" applyFill="1" applyBorder="1" applyAlignment="1" applyProtection="1">
      <alignment horizontal="center" vertical="top" wrapText="1"/>
      <protection locked="0"/>
    </xf>
    <xf numFmtId="0" fontId="37" fillId="42" borderId="15" xfId="78" applyFont="1" applyFill="1" applyBorder="1" applyProtection="1">
      <alignment/>
      <protection locked="0"/>
    </xf>
    <xf numFmtId="0" fontId="37" fillId="42" borderId="15" xfId="78" applyFont="1" applyFill="1" applyBorder="1" applyProtection="1">
      <alignment/>
      <protection hidden="1"/>
    </xf>
    <xf numFmtId="0" fontId="37" fillId="42" borderId="0" xfId="78" applyFont="1" applyFill="1" applyBorder="1" applyProtection="1">
      <alignment/>
      <protection hidden="1"/>
    </xf>
    <xf numFmtId="0" fontId="3" fillId="42" borderId="16" xfId="78" applyFont="1" applyFill="1" applyBorder="1" applyProtection="1">
      <alignment/>
      <protection hidden="1"/>
    </xf>
    <xf numFmtId="0" fontId="37" fillId="42" borderId="21" xfId="78" applyFont="1" applyFill="1" applyBorder="1" applyProtection="1">
      <alignment/>
      <protection hidden="1"/>
    </xf>
    <xf numFmtId="0" fontId="37" fillId="42" borderId="22" xfId="78" applyFont="1" applyFill="1" applyBorder="1" applyProtection="1">
      <alignment/>
      <protection hidden="1"/>
    </xf>
    <xf numFmtId="0" fontId="3" fillId="42" borderId="23" xfId="78" applyFont="1" applyFill="1" applyBorder="1" applyProtection="1">
      <alignment/>
      <protection hidden="1"/>
    </xf>
    <xf numFmtId="49" fontId="60" fillId="41" borderId="0" xfId="86" applyFont="1" applyFill="1">
      <alignment horizontal="center" vertical="top"/>
      <protection/>
    </xf>
    <xf numFmtId="0" fontId="46" fillId="41" borderId="0" xfId="78" applyFont="1" applyFill="1" applyProtection="1">
      <alignment/>
      <protection hidden="1"/>
    </xf>
    <xf numFmtId="0" fontId="36" fillId="10" borderId="47" xfId="78" applyFont="1" applyFill="1" applyBorder="1" applyAlignment="1" applyProtection="1">
      <alignment horizontal="center" vertical="top" wrapText="1"/>
      <protection locked="0"/>
    </xf>
    <xf numFmtId="0" fontId="36" fillId="10" borderId="1" xfId="78" applyFont="1" applyFill="1" applyBorder="1" applyAlignment="1" applyProtection="1">
      <alignment horizontal="center" vertical="top" wrapText="1"/>
      <protection locked="0"/>
    </xf>
    <xf numFmtId="0" fontId="4" fillId="10" borderId="48" xfId="78" applyFont="1" applyFill="1" applyBorder="1" applyAlignment="1" applyProtection="1">
      <alignment horizontal="center" vertical="top" wrapText="1"/>
      <protection locked="0"/>
    </xf>
    <xf numFmtId="0" fontId="37" fillId="10" borderId="47" xfId="78" applyFont="1" applyFill="1" applyBorder="1" applyAlignment="1" applyProtection="1">
      <alignment horizontal="center" vertical="center" wrapText="1"/>
      <protection locked="0"/>
    </xf>
    <xf numFmtId="0" fontId="37" fillId="10" borderId="1" xfId="78" applyFont="1" applyFill="1" applyBorder="1" applyAlignment="1" applyProtection="1" quotePrefix="1">
      <alignment horizontal="center" vertical="center" wrapText="1"/>
      <protection locked="0"/>
    </xf>
    <xf numFmtId="0" fontId="3" fillId="10" borderId="48" xfId="78" applyFont="1" applyFill="1" applyBorder="1" applyAlignment="1" applyProtection="1" quotePrefix="1">
      <alignment horizontal="center" vertical="center" wrapText="1"/>
      <protection locked="0"/>
    </xf>
    <xf numFmtId="0" fontId="3" fillId="42" borderId="0" xfId="0" applyNumberFormat="1" applyFont="1" applyFill="1" applyBorder="1" applyAlignment="1">
      <alignment horizontal="justify"/>
    </xf>
    <xf numFmtId="0" fontId="37" fillId="42" borderId="47" xfId="78" applyFont="1" applyFill="1" applyBorder="1" applyAlignment="1" applyProtection="1">
      <alignment horizontal="center"/>
      <protection hidden="1"/>
    </xf>
    <xf numFmtId="0" fontId="6" fillId="41" borderId="0" xfId="0" applyFont="1" applyFill="1" applyBorder="1" applyAlignment="1" applyProtection="1">
      <alignment/>
      <protection hidden="1"/>
    </xf>
    <xf numFmtId="0" fontId="35" fillId="41" borderId="0" xfId="0" applyFont="1" applyFill="1" applyBorder="1" applyAlignment="1" applyProtection="1">
      <alignment horizontal="center" wrapText="1"/>
      <protection hidden="1"/>
    </xf>
    <xf numFmtId="14" fontId="6" fillId="41" borderId="0" xfId="0" applyNumberFormat="1" applyFont="1" applyFill="1" applyBorder="1" applyAlignment="1" applyProtection="1">
      <alignment/>
      <protection hidden="1"/>
    </xf>
    <xf numFmtId="0" fontId="6" fillId="41" borderId="0" xfId="0" applyFont="1" applyFill="1" applyBorder="1" applyAlignment="1" applyProtection="1">
      <alignment horizontal="center" vertical="center" wrapText="1"/>
      <protection hidden="1"/>
    </xf>
    <xf numFmtId="0" fontId="71" fillId="41" borderId="0" xfId="0" applyFont="1" applyFill="1" applyBorder="1" applyAlignment="1" applyProtection="1">
      <alignment wrapText="1"/>
      <protection hidden="1"/>
    </xf>
    <xf numFmtId="0" fontId="6" fillId="41" borderId="0" xfId="0" applyFont="1" applyFill="1" applyBorder="1" applyAlignment="1" applyProtection="1">
      <alignment/>
      <protection hidden="1"/>
    </xf>
    <xf numFmtId="0" fontId="35" fillId="41" borderId="0" xfId="0" applyFont="1" applyFill="1" applyBorder="1" applyAlignment="1" applyProtection="1">
      <alignment vertical="top" wrapText="1"/>
      <protection hidden="1"/>
    </xf>
    <xf numFmtId="1" fontId="6" fillId="41" borderId="0" xfId="0" applyNumberFormat="1" applyFont="1" applyFill="1" applyBorder="1" applyAlignment="1" applyProtection="1">
      <alignment/>
      <protection hidden="1"/>
    </xf>
    <xf numFmtId="0" fontId="35" fillId="41" borderId="0" xfId="0" applyFont="1" applyFill="1" applyBorder="1" applyAlignment="1" applyProtection="1">
      <alignment/>
      <protection hidden="1"/>
    </xf>
    <xf numFmtId="0" fontId="6" fillId="41" borderId="0" xfId="0" applyNumberFormat="1" applyFont="1" applyFill="1" applyBorder="1" applyAlignment="1" applyProtection="1">
      <alignment/>
      <protection hidden="1"/>
    </xf>
    <xf numFmtId="0" fontId="6" fillId="41" borderId="0" xfId="0" applyFont="1" applyFill="1" applyBorder="1" applyAlignment="1" applyProtection="1">
      <alignment/>
      <protection locked="0"/>
    </xf>
    <xf numFmtId="0" fontId="6" fillId="41" borderId="0" xfId="0" applyFont="1" applyFill="1" applyBorder="1" applyAlignment="1" applyProtection="1">
      <alignment/>
      <protection/>
    </xf>
    <xf numFmtId="0" fontId="6" fillId="44" borderId="0" xfId="0" applyFont="1" applyFill="1" applyAlignment="1" applyProtection="1">
      <alignment vertical="center"/>
      <protection hidden="1"/>
    </xf>
    <xf numFmtId="0" fontId="45" fillId="41" borderId="0" xfId="0" applyFont="1" applyFill="1" applyAlignment="1">
      <alignment horizontal="center" vertical="center"/>
    </xf>
    <xf numFmtId="0" fontId="4" fillId="42" borderId="0" xfId="0" applyFont="1" applyFill="1" applyAlignment="1">
      <alignment horizontal="center" vertical="top" wrapText="1"/>
    </xf>
    <xf numFmtId="0" fontId="4" fillId="42" borderId="0" xfId="0" applyFont="1" applyFill="1" applyBorder="1" applyAlignment="1">
      <alignment horizontal="center"/>
    </xf>
    <xf numFmtId="0" fontId="3" fillId="42" borderId="29" xfId="0" applyFont="1" applyFill="1" applyBorder="1" applyAlignment="1">
      <alignment horizontal="left"/>
    </xf>
    <xf numFmtId="0" fontId="3" fillId="43" borderId="29" xfId="0" applyFont="1" applyFill="1" applyBorder="1" applyAlignment="1">
      <alignment horizontal="center"/>
    </xf>
    <xf numFmtId="0" fontId="3" fillId="42" borderId="0" xfId="0" applyFont="1" applyFill="1" applyBorder="1" applyAlignment="1">
      <alignment horizontal="left"/>
    </xf>
    <xf numFmtId="0" fontId="3" fillId="42" borderId="29" xfId="0" applyFont="1" applyFill="1" applyBorder="1" applyAlignment="1">
      <alignment horizontal="center"/>
    </xf>
    <xf numFmtId="0" fontId="41" fillId="42" borderId="29" xfId="0" applyFont="1" applyFill="1" applyBorder="1" applyAlignment="1">
      <alignment horizontal="left"/>
    </xf>
    <xf numFmtId="171" fontId="3" fillId="42" borderId="49" xfId="0" applyNumberFormat="1" applyFont="1" applyFill="1" applyBorder="1" applyAlignment="1">
      <alignment horizontal="center"/>
    </xf>
    <xf numFmtId="171" fontId="3" fillId="42" borderId="28" xfId="0" applyNumberFormat="1" applyFont="1" applyFill="1" applyBorder="1" applyAlignment="1">
      <alignment horizontal="center"/>
    </xf>
    <xf numFmtId="171" fontId="3" fillId="42" borderId="50" xfId="0" applyNumberFormat="1" applyFont="1" applyFill="1" applyBorder="1" applyAlignment="1">
      <alignment horizontal="center"/>
    </xf>
    <xf numFmtId="0" fontId="45" fillId="41" borderId="0" xfId="0" applyFont="1" applyFill="1" applyAlignment="1" applyProtection="1">
      <alignment horizontal="center" vertical="center"/>
      <protection hidden="1"/>
    </xf>
    <xf numFmtId="0" fontId="45" fillId="41" borderId="22" xfId="0" applyFont="1" applyFill="1" applyBorder="1" applyAlignment="1" applyProtection="1">
      <alignment horizontal="center" vertical="center"/>
      <protection hidden="1"/>
    </xf>
    <xf numFmtId="0" fontId="37" fillId="42" borderId="28" xfId="0" applyFont="1" applyFill="1" applyBorder="1" applyAlignment="1" applyProtection="1">
      <alignment horizontal="center"/>
      <protection hidden="1"/>
    </xf>
    <xf numFmtId="0" fontId="36" fillId="42" borderId="1" xfId="0" applyFont="1" applyFill="1" applyBorder="1" applyAlignment="1" applyProtection="1">
      <alignment horizontal="left"/>
      <protection hidden="1"/>
    </xf>
    <xf numFmtId="0" fontId="36" fillId="42" borderId="51" xfId="0" applyFont="1" applyFill="1" applyBorder="1" applyAlignment="1" applyProtection="1">
      <alignment horizontal="right"/>
      <protection hidden="1"/>
    </xf>
    <xf numFmtId="0" fontId="36" fillId="42" borderId="25" xfId="0" applyFont="1" applyFill="1" applyBorder="1" applyAlignment="1" applyProtection="1">
      <alignment horizontal="right"/>
      <protection hidden="1"/>
    </xf>
    <xf numFmtId="0" fontId="36" fillId="42" borderId="17" xfId="0" applyFont="1" applyFill="1" applyBorder="1" applyAlignment="1" applyProtection="1">
      <alignment horizontal="right"/>
      <protection hidden="1"/>
    </xf>
    <xf numFmtId="0" fontId="36" fillId="42" borderId="51" xfId="0" applyFont="1" applyFill="1" applyBorder="1" applyAlignment="1" applyProtection="1">
      <alignment horizontal="center" wrapText="1"/>
      <protection hidden="1"/>
    </xf>
    <xf numFmtId="0" fontId="36" fillId="42" borderId="25" xfId="0" applyFont="1" applyFill="1" applyBorder="1" applyAlignment="1" applyProtection="1" quotePrefix="1">
      <alignment horizontal="center" wrapText="1"/>
      <protection hidden="1"/>
    </xf>
    <xf numFmtId="0" fontId="36" fillId="42" borderId="17" xfId="0" applyFont="1" applyFill="1" applyBorder="1" applyAlignment="1" applyProtection="1" quotePrefix="1">
      <alignment horizontal="center" wrapText="1"/>
      <protection hidden="1"/>
    </xf>
    <xf numFmtId="174" fontId="37" fillId="42" borderId="42" xfId="96" applyNumberFormat="1" applyFont="1" applyFill="1" applyBorder="1" applyAlignment="1" applyProtection="1">
      <alignment horizontal="left"/>
      <protection hidden="1" locked="0"/>
    </xf>
    <xf numFmtId="174" fontId="37" fillId="42" borderId="52" xfId="96" applyNumberFormat="1" applyFont="1" applyFill="1" applyBorder="1" applyAlignment="1" applyProtection="1">
      <alignment horizontal="left"/>
      <protection hidden="1" locked="0"/>
    </xf>
    <xf numFmtId="174" fontId="37" fillId="42" borderId="33" xfId="96" applyNumberFormat="1" applyFont="1" applyFill="1" applyBorder="1" applyAlignment="1" applyProtection="1">
      <alignment horizontal="left"/>
      <protection hidden="1" locked="0"/>
    </xf>
    <xf numFmtId="174" fontId="37" fillId="42" borderId="43" xfId="96" applyNumberFormat="1" applyFont="1" applyFill="1" applyBorder="1" applyAlignment="1" applyProtection="1">
      <alignment horizontal="left"/>
      <protection hidden="1" locked="0"/>
    </xf>
    <xf numFmtId="174" fontId="37" fillId="42" borderId="28" xfId="96" applyNumberFormat="1" applyFont="1" applyFill="1" applyBorder="1" applyAlignment="1" applyProtection="1">
      <alignment horizontal="left"/>
      <protection hidden="1" locked="0"/>
    </xf>
    <xf numFmtId="174" fontId="37" fillId="42" borderId="37" xfId="96" applyNumberFormat="1" applyFont="1" applyFill="1" applyBorder="1" applyAlignment="1" applyProtection="1">
      <alignment horizontal="left"/>
      <protection hidden="1" locked="0"/>
    </xf>
    <xf numFmtId="174" fontId="37" fillId="42" borderId="44" xfId="96" applyNumberFormat="1" applyFont="1" applyFill="1" applyBorder="1" applyAlignment="1" applyProtection="1">
      <alignment horizontal="left"/>
      <protection hidden="1" locked="0"/>
    </xf>
    <xf numFmtId="174" fontId="37" fillId="42" borderId="53" xfId="96" applyNumberFormat="1" applyFont="1" applyFill="1" applyBorder="1" applyAlignment="1" applyProtection="1">
      <alignment horizontal="left"/>
      <protection hidden="1" locked="0"/>
    </xf>
    <xf numFmtId="174" fontId="37" fillId="42" borderId="39" xfId="96" applyNumberFormat="1" applyFont="1" applyFill="1" applyBorder="1" applyAlignment="1" applyProtection="1">
      <alignment horizontal="left"/>
      <protection hidden="1" locked="0"/>
    </xf>
    <xf numFmtId="0" fontId="38" fillId="42" borderId="34" xfId="0" applyFont="1" applyFill="1" applyBorder="1" applyAlignment="1" applyProtection="1">
      <alignment wrapText="1"/>
      <protection hidden="1"/>
    </xf>
    <xf numFmtId="0" fontId="36" fillId="42" borderId="0" xfId="0" applyFont="1" applyFill="1" applyBorder="1" applyAlignment="1" applyProtection="1" quotePrefix="1">
      <alignment horizontal="center" vertical="center"/>
      <protection hidden="1"/>
    </xf>
    <xf numFmtId="0" fontId="4" fillId="42" borderId="0" xfId="0" applyFont="1" applyFill="1" applyBorder="1" applyAlignment="1" applyProtection="1">
      <alignment horizontal="right"/>
      <protection hidden="1"/>
    </xf>
    <xf numFmtId="0" fontId="4" fillId="42" borderId="35" xfId="0" applyFont="1" applyFill="1" applyBorder="1" applyAlignment="1" applyProtection="1">
      <alignment horizontal="right"/>
      <protection hidden="1"/>
    </xf>
    <xf numFmtId="0" fontId="36" fillId="42" borderId="31" xfId="0" applyFont="1" applyFill="1" applyBorder="1" applyAlignment="1" applyProtection="1">
      <alignment horizontal="left"/>
      <protection hidden="1"/>
    </xf>
    <xf numFmtId="0" fontId="36" fillId="42" borderId="54" xfId="0" applyFont="1" applyFill="1" applyBorder="1" applyAlignment="1" applyProtection="1">
      <alignment horizontal="left"/>
      <protection hidden="1"/>
    </xf>
    <xf numFmtId="0" fontId="36" fillId="42" borderId="55" xfId="0" applyFont="1" applyFill="1" applyBorder="1" applyAlignment="1" applyProtection="1">
      <alignment horizontal="right"/>
      <protection hidden="1"/>
    </xf>
    <xf numFmtId="0" fontId="36" fillId="42" borderId="56" xfId="0" applyFont="1" applyFill="1" applyBorder="1" applyAlignment="1" applyProtection="1">
      <alignment horizontal="right"/>
      <protection hidden="1"/>
    </xf>
    <xf numFmtId="0" fontId="37" fillId="10" borderId="40" xfId="0" applyFont="1" applyFill="1" applyBorder="1" applyAlignment="1" applyProtection="1">
      <alignment horizontal="center" vertical="center" wrapText="1"/>
      <protection hidden="1"/>
    </xf>
    <xf numFmtId="0" fontId="37" fillId="10" borderId="31" xfId="0" applyFont="1" applyFill="1" applyBorder="1" applyAlignment="1" applyProtection="1">
      <alignment horizontal="center" vertical="center" wrapText="1"/>
      <protection hidden="1"/>
    </xf>
    <xf numFmtId="0" fontId="37" fillId="10" borderId="51" xfId="0" applyFont="1" applyFill="1" applyBorder="1" applyAlignment="1" applyProtection="1">
      <alignment horizontal="center" vertical="center" wrapText="1"/>
      <protection hidden="1"/>
    </xf>
    <xf numFmtId="0" fontId="37" fillId="10" borderId="25" xfId="0" applyFont="1" applyFill="1" applyBorder="1" applyAlignment="1" applyProtection="1">
      <alignment horizontal="center" vertical="center" wrapText="1"/>
      <protection hidden="1"/>
    </xf>
    <xf numFmtId="0" fontId="37" fillId="10" borderId="17" xfId="0" applyFont="1" applyFill="1" applyBorder="1" applyAlignment="1" applyProtection="1">
      <alignment horizontal="center" vertical="center" wrapText="1"/>
      <protection hidden="1"/>
    </xf>
    <xf numFmtId="0" fontId="37" fillId="10" borderId="45" xfId="0" applyFont="1" applyFill="1" applyBorder="1" applyAlignment="1" applyProtection="1">
      <alignment horizontal="center" vertical="center" wrapText="1"/>
      <protection hidden="1"/>
    </xf>
    <xf numFmtId="0" fontId="39" fillId="42" borderId="0" xfId="0" applyFont="1" applyFill="1" applyBorder="1" applyAlignment="1" applyProtection="1">
      <alignment horizontal="center" vertical="top"/>
      <protection hidden="1"/>
    </xf>
    <xf numFmtId="0" fontId="37" fillId="42" borderId="29" xfId="0" applyFont="1" applyFill="1" applyBorder="1" applyAlignment="1" applyProtection="1">
      <alignment horizontal="center"/>
      <protection hidden="1" locked="0"/>
    </xf>
    <xf numFmtId="169" fontId="6" fillId="42" borderId="1" xfId="0" applyNumberFormat="1" applyFont="1" applyFill="1" applyBorder="1" applyAlignment="1" applyProtection="1">
      <alignment horizontal="center"/>
      <protection hidden="1"/>
    </xf>
    <xf numFmtId="169" fontId="37" fillId="10" borderId="1" xfId="0" applyNumberFormat="1" applyFont="1" applyFill="1" applyBorder="1" applyAlignment="1" applyProtection="1">
      <alignment horizontal="center" shrinkToFit="1"/>
      <protection hidden="1"/>
    </xf>
    <xf numFmtId="169" fontId="36" fillId="42" borderId="1" xfId="0" applyNumberFormat="1" applyFont="1" applyFill="1" applyBorder="1" applyAlignment="1" applyProtection="1">
      <alignment horizontal="center" shrinkToFit="1"/>
      <protection hidden="1"/>
    </xf>
    <xf numFmtId="0" fontId="3" fillId="42" borderId="29" xfId="0" applyFont="1" applyFill="1" applyBorder="1" applyAlignment="1">
      <alignment horizontal="left" wrapText="1"/>
    </xf>
    <xf numFmtId="0" fontId="50" fillId="41" borderId="0" xfId="0" applyFont="1" applyFill="1" applyBorder="1" applyAlignment="1" applyProtection="1">
      <alignment horizontal="center"/>
      <protection hidden="1"/>
    </xf>
    <xf numFmtId="0" fontId="37" fillId="42" borderId="29" xfId="0" applyFont="1" applyFill="1" applyBorder="1" applyAlignment="1" applyProtection="1">
      <alignment horizontal="center"/>
      <protection hidden="1"/>
    </xf>
    <xf numFmtId="0" fontId="50" fillId="41" borderId="0" xfId="0" applyFont="1" applyFill="1" applyBorder="1" applyAlignment="1" applyProtection="1" quotePrefix="1">
      <alignment horizontal="center" vertical="center" wrapText="1"/>
      <protection hidden="1"/>
    </xf>
    <xf numFmtId="0" fontId="3" fillId="10" borderId="1" xfId="0" applyFont="1" applyFill="1" applyBorder="1" applyAlignment="1" applyProtection="1">
      <alignment horizontal="center" vertical="center" wrapText="1"/>
      <protection hidden="1"/>
    </xf>
    <xf numFmtId="0" fontId="3" fillId="10" borderId="1" xfId="0" applyFont="1" applyFill="1" applyBorder="1" applyAlignment="1" applyProtection="1" quotePrefix="1">
      <alignment horizontal="center" vertical="center" wrapText="1"/>
      <protection hidden="1"/>
    </xf>
    <xf numFmtId="0" fontId="35" fillId="42" borderId="1" xfId="0" applyFont="1" applyFill="1" applyBorder="1" applyAlignment="1" applyProtection="1">
      <alignment horizontal="center" vertical="center" wrapText="1"/>
      <protection hidden="1"/>
    </xf>
    <xf numFmtId="169" fontId="37" fillId="10" borderId="32" xfId="0" applyNumberFormat="1" applyFont="1" applyFill="1" applyBorder="1" applyAlignment="1" applyProtection="1">
      <alignment horizontal="center" shrinkToFit="1"/>
      <protection hidden="1"/>
    </xf>
    <xf numFmtId="169" fontId="37" fillId="10" borderId="38" xfId="0" applyNumberFormat="1" applyFont="1" applyFill="1" applyBorder="1" applyAlignment="1" applyProtection="1">
      <alignment horizontal="center" shrinkToFit="1"/>
      <protection hidden="1"/>
    </xf>
    <xf numFmtId="0" fontId="40" fillId="42" borderId="0" xfId="0" applyFont="1" applyFill="1" applyBorder="1" applyAlignment="1">
      <alignment horizontal="center" vertical="top" wrapText="1"/>
    </xf>
    <xf numFmtId="0" fontId="3" fillId="42" borderId="54" xfId="0" applyFont="1" applyFill="1" applyBorder="1" applyAlignment="1" applyProtection="1">
      <alignment horizontal="right"/>
      <protection hidden="1"/>
    </xf>
    <xf numFmtId="0" fontId="3" fillId="42" borderId="20" xfId="0" applyFont="1" applyFill="1" applyBorder="1" applyAlignment="1" applyProtection="1">
      <alignment horizontal="right"/>
      <protection hidden="1"/>
    </xf>
    <xf numFmtId="0" fontId="3" fillId="42" borderId="30" xfId="0" applyFont="1" applyFill="1" applyBorder="1" applyAlignment="1" applyProtection="1">
      <alignment horizontal="right"/>
      <protection hidden="1"/>
    </xf>
    <xf numFmtId="0" fontId="3" fillId="42" borderId="26" xfId="0" applyFont="1" applyFill="1" applyBorder="1" applyAlignment="1" applyProtection="1">
      <alignment horizontal="right"/>
      <protection hidden="1"/>
    </xf>
    <xf numFmtId="0" fontId="36" fillId="42" borderId="55" xfId="0" applyFont="1" applyFill="1" applyBorder="1" applyAlignment="1" applyProtection="1">
      <alignment/>
      <protection hidden="1"/>
    </xf>
    <xf numFmtId="0" fontId="36" fillId="42" borderId="0" xfId="0" applyFont="1" applyFill="1" applyBorder="1" applyAlignment="1" applyProtection="1">
      <alignment/>
      <protection hidden="1"/>
    </xf>
    <xf numFmtId="0" fontId="37" fillId="42" borderId="0" xfId="0" applyFont="1" applyFill="1" applyBorder="1" applyAlignment="1" applyProtection="1">
      <alignment horizontal="left"/>
      <protection hidden="1"/>
    </xf>
    <xf numFmtId="0" fontId="37" fillId="10" borderId="29" xfId="0" applyFont="1" applyFill="1" applyBorder="1" applyAlignment="1" applyProtection="1">
      <alignment horizontal="left"/>
      <protection hidden="1"/>
    </xf>
    <xf numFmtId="14" fontId="37" fillId="42" borderId="0" xfId="0" applyNumberFormat="1" applyFont="1" applyFill="1" applyBorder="1" applyAlignment="1" applyProtection="1">
      <alignment horizontal="center"/>
      <protection hidden="1"/>
    </xf>
    <xf numFmtId="0" fontId="38" fillId="42" borderId="0" xfId="0" applyFont="1" applyFill="1" applyBorder="1" applyAlignment="1" applyProtection="1" quotePrefix="1">
      <alignment horizontal="left"/>
      <protection hidden="1"/>
    </xf>
    <xf numFmtId="0" fontId="3" fillId="42" borderId="0" xfId="0" applyFont="1" applyFill="1" applyBorder="1" applyAlignment="1" applyProtection="1">
      <alignment horizontal="left"/>
      <protection hidden="1"/>
    </xf>
    <xf numFmtId="0" fontId="3" fillId="10" borderId="30" xfId="0" applyFont="1" applyFill="1" applyBorder="1" applyAlignment="1" applyProtection="1">
      <alignment horizontal="center" vertical="center" wrapText="1"/>
      <protection hidden="1"/>
    </xf>
    <xf numFmtId="0" fontId="3" fillId="10" borderId="26" xfId="0" applyFont="1" applyFill="1" applyBorder="1" applyAlignment="1" applyProtection="1">
      <alignment horizontal="center" vertical="center" wrapText="1"/>
      <protection hidden="1"/>
    </xf>
    <xf numFmtId="0" fontId="3" fillId="10" borderId="54" xfId="0" applyFont="1" applyFill="1" applyBorder="1" applyAlignment="1" applyProtection="1">
      <alignment horizontal="center" vertical="center" wrapText="1"/>
      <protection hidden="1"/>
    </xf>
    <xf numFmtId="0" fontId="3" fillId="10" borderId="20" xfId="0" applyFont="1" applyFill="1" applyBorder="1" applyAlignment="1" applyProtection="1">
      <alignment horizontal="center" vertical="center" wrapText="1"/>
      <protection hidden="1"/>
    </xf>
    <xf numFmtId="0" fontId="3" fillId="42" borderId="0" xfId="0" applyFont="1" applyFill="1" applyBorder="1" applyAlignment="1" applyProtection="1">
      <alignment horizontal="left" wrapText="1"/>
      <protection hidden="1"/>
    </xf>
    <xf numFmtId="0" fontId="50" fillId="41" borderId="0" xfId="0" applyFont="1" applyFill="1" applyBorder="1" applyAlignment="1" applyProtection="1">
      <alignment horizontal="center" vertical="center"/>
      <protection hidden="1"/>
    </xf>
    <xf numFmtId="0" fontId="35" fillId="42" borderId="13" xfId="0" applyFont="1" applyFill="1" applyBorder="1" applyAlignment="1" applyProtection="1">
      <alignment horizontal="left" wrapText="1"/>
      <protection hidden="1"/>
    </xf>
    <xf numFmtId="0" fontId="35" fillId="42" borderId="13" xfId="0" applyFont="1" applyFill="1" applyBorder="1" applyAlignment="1" applyProtection="1" quotePrefix="1">
      <alignment horizontal="left" wrapText="1"/>
      <protection hidden="1"/>
    </xf>
    <xf numFmtId="0" fontId="36" fillId="42" borderId="0" xfId="0" applyFont="1" applyFill="1" applyBorder="1" applyAlignment="1" applyProtection="1">
      <alignment horizontal="right" vertical="center"/>
      <protection hidden="1"/>
    </xf>
    <xf numFmtId="169" fontId="37" fillId="10" borderId="29" xfId="0" applyNumberFormat="1" applyFont="1" applyFill="1" applyBorder="1" applyAlignment="1" applyProtection="1">
      <alignment horizontal="left"/>
      <protection hidden="1"/>
    </xf>
    <xf numFmtId="0" fontId="3" fillId="10" borderId="40" xfId="0" applyFont="1" applyFill="1" applyBorder="1" applyAlignment="1" applyProtection="1">
      <alignment horizontal="center" vertical="center" wrapText="1"/>
      <protection hidden="1"/>
    </xf>
    <xf numFmtId="0" fontId="3" fillId="10" borderId="31" xfId="0" applyFont="1" applyFill="1" applyBorder="1" applyAlignment="1" applyProtection="1">
      <alignment horizontal="center" vertical="center" wrapText="1"/>
      <protection hidden="1"/>
    </xf>
    <xf numFmtId="0" fontId="3" fillId="10" borderId="29" xfId="0" applyNumberFormat="1" applyFont="1" applyFill="1" applyBorder="1" applyAlignment="1">
      <alignment horizontal="center"/>
    </xf>
    <xf numFmtId="0" fontId="3" fillId="10" borderId="29" xfId="0" applyNumberFormat="1" applyFont="1" applyFill="1" applyBorder="1" applyAlignment="1">
      <alignment horizontal="left" wrapText="1"/>
    </xf>
    <xf numFmtId="0" fontId="37" fillId="42" borderId="29" xfId="0" applyFont="1" applyFill="1" applyBorder="1" applyAlignment="1" applyProtection="1">
      <alignment horizontal="center" shrinkToFit="1"/>
      <protection hidden="1"/>
    </xf>
    <xf numFmtId="0" fontId="37" fillId="10" borderId="45" xfId="0" applyFont="1" applyFill="1" applyBorder="1" applyAlignment="1" applyProtection="1" quotePrefix="1">
      <alignment horizontal="center" vertical="center" wrapText="1"/>
      <protection hidden="1"/>
    </xf>
    <xf numFmtId="0" fontId="37" fillId="10" borderId="31" xfId="0" applyFont="1" applyFill="1" applyBorder="1" applyAlignment="1" applyProtection="1" quotePrefix="1">
      <alignment horizontal="center" vertical="center" wrapText="1"/>
      <protection hidden="1"/>
    </xf>
    <xf numFmtId="0" fontId="37" fillId="10" borderId="40" xfId="0" applyFont="1" applyFill="1" applyBorder="1" applyAlignment="1" applyProtection="1" quotePrefix="1">
      <alignment horizontal="center" vertical="center" wrapText="1"/>
      <protection hidden="1"/>
    </xf>
    <xf numFmtId="0" fontId="37" fillId="10" borderId="30" xfId="0" applyFont="1" applyFill="1" applyBorder="1" applyAlignment="1" applyProtection="1">
      <alignment horizontal="center" vertical="center" wrapText="1"/>
      <protection hidden="1"/>
    </xf>
    <xf numFmtId="0" fontId="37" fillId="10" borderId="26" xfId="0" applyFont="1" applyFill="1" applyBorder="1" applyAlignment="1" applyProtection="1" quotePrefix="1">
      <alignment horizontal="center" vertical="center" wrapText="1"/>
      <protection hidden="1"/>
    </xf>
    <xf numFmtId="0" fontId="37" fillId="10" borderId="34" xfId="0" applyFont="1" applyFill="1" applyBorder="1" applyAlignment="1" applyProtection="1" quotePrefix="1">
      <alignment horizontal="center" vertical="center" wrapText="1"/>
      <protection hidden="1"/>
    </xf>
    <xf numFmtId="0" fontId="37" fillId="10" borderId="35" xfId="0" applyFont="1" applyFill="1" applyBorder="1" applyAlignment="1" applyProtection="1" quotePrefix="1">
      <alignment horizontal="center" vertical="center" wrapText="1"/>
      <protection hidden="1"/>
    </xf>
    <xf numFmtId="0" fontId="37" fillId="10" borderId="54" xfId="0" applyFont="1" applyFill="1" applyBorder="1" applyAlignment="1" applyProtection="1" quotePrefix="1">
      <alignment horizontal="center" vertical="center" wrapText="1"/>
      <protection hidden="1"/>
    </xf>
    <xf numFmtId="0" fontId="37" fillId="10" borderId="20" xfId="0" applyFont="1" applyFill="1" applyBorder="1" applyAlignment="1" applyProtection="1" quotePrefix="1">
      <alignment horizontal="center" vertical="center" wrapText="1"/>
      <protection hidden="1"/>
    </xf>
    <xf numFmtId="0" fontId="37" fillId="10" borderId="55" xfId="0" applyFont="1" applyFill="1" applyBorder="1" applyAlignment="1" applyProtection="1" quotePrefix="1">
      <alignment horizontal="center" vertical="center" wrapText="1"/>
      <protection hidden="1"/>
    </xf>
    <xf numFmtId="0" fontId="37" fillId="10" borderId="55" xfId="0" applyFont="1" applyFill="1" applyBorder="1" applyAlignment="1" applyProtection="1">
      <alignment horizontal="center" vertical="center" wrapText="1"/>
      <protection hidden="1"/>
    </xf>
    <xf numFmtId="0" fontId="4" fillId="42" borderId="51" xfId="0" applyFont="1" applyFill="1" applyBorder="1" applyAlignment="1" applyProtection="1">
      <alignment horizontal="left"/>
      <protection hidden="1"/>
    </xf>
    <xf numFmtId="0" fontId="4" fillId="42" borderId="17" xfId="0" applyFont="1" applyFill="1" applyBorder="1" applyAlignment="1" applyProtection="1">
      <alignment horizontal="left"/>
      <protection hidden="1"/>
    </xf>
    <xf numFmtId="0" fontId="36" fillId="42" borderId="0" xfId="0" applyFont="1" applyFill="1" applyBorder="1" applyAlignment="1" applyProtection="1">
      <alignment horizontal="center" vertical="center"/>
      <protection hidden="1"/>
    </xf>
    <xf numFmtId="171" fontId="41" fillId="42" borderId="51" xfId="96" applyNumberFormat="1" applyFont="1" applyFill="1" applyBorder="1" applyAlignment="1" applyProtection="1">
      <alignment/>
      <protection hidden="1"/>
    </xf>
    <xf numFmtId="171" fontId="41" fillId="42" borderId="17" xfId="96" applyNumberFormat="1" applyFont="1" applyFill="1" applyBorder="1" applyAlignment="1" applyProtection="1">
      <alignment/>
      <protection hidden="1"/>
    </xf>
    <xf numFmtId="171" fontId="42" fillId="42" borderId="42" xfId="96" applyNumberFormat="1" applyFont="1" applyFill="1" applyBorder="1" applyAlignment="1" applyProtection="1">
      <alignment horizontal="center"/>
      <protection hidden="1"/>
    </xf>
    <xf numFmtId="171" fontId="42" fillId="42" borderId="33" xfId="96" applyNumberFormat="1" applyFont="1" applyFill="1" applyBorder="1" applyAlignment="1" applyProtection="1">
      <alignment horizontal="center"/>
      <protection hidden="1"/>
    </xf>
    <xf numFmtId="171" fontId="42" fillId="42" borderId="40" xfId="96" applyNumberFormat="1" applyFont="1" applyFill="1" applyBorder="1" applyAlignment="1" applyProtection="1">
      <alignment horizontal="center" vertical="center"/>
      <protection hidden="1"/>
    </xf>
    <xf numFmtId="171" fontId="42" fillId="42" borderId="45" xfId="96" applyNumberFormat="1" applyFont="1" applyFill="1" applyBorder="1" applyAlignment="1" applyProtection="1">
      <alignment horizontal="center" vertical="center"/>
      <protection hidden="1"/>
    </xf>
    <xf numFmtId="171" fontId="42" fillId="42" borderId="43" xfId="96" applyNumberFormat="1" applyFont="1" applyFill="1" applyBorder="1" applyAlignment="1" applyProtection="1">
      <alignment horizontal="center"/>
      <protection hidden="1"/>
    </xf>
    <xf numFmtId="171" fontId="42" fillId="42" borderId="37" xfId="96" applyNumberFormat="1" applyFont="1" applyFill="1" applyBorder="1" applyAlignment="1" applyProtection="1">
      <alignment horizontal="center"/>
      <protection hidden="1"/>
    </xf>
    <xf numFmtId="171" fontId="42" fillId="42" borderId="44" xfId="96" applyNumberFormat="1" applyFont="1" applyFill="1" applyBorder="1" applyAlignment="1" applyProtection="1">
      <alignment horizontal="center"/>
      <protection hidden="1"/>
    </xf>
    <xf numFmtId="171" fontId="42" fillId="42" borderId="39" xfId="96" applyNumberFormat="1" applyFont="1" applyFill="1" applyBorder="1" applyAlignment="1" applyProtection="1">
      <alignment horizontal="center"/>
      <protection hidden="1"/>
    </xf>
    <xf numFmtId="0" fontId="41" fillId="42" borderId="0" xfId="0" applyFont="1" applyFill="1" applyBorder="1" applyAlignment="1" applyProtection="1">
      <alignment wrapText="1"/>
      <protection hidden="1"/>
    </xf>
    <xf numFmtId="0" fontId="3" fillId="10" borderId="26" xfId="0" applyFont="1" applyFill="1" applyBorder="1" applyAlignment="1" applyProtection="1" quotePrefix="1">
      <alignment horizontal="center" vertical="center" wrapText="1"/>
      <protection hidden="1"/>
    </xf>
    <xf numFmtId="0" fontId="3" fillId="10" borderId="51" xfId="0" applyFont="1" applyFill="1" applyBorder="1" applyAlignment="1" applyProtection="1">
      <alignment horizontal="center" vertical="center" wrapText="1"/>
      <protection hidden="1"/>
    </xf>
    <xf numFmtId="0" fontId="3" fillId="10" borderId="17" xfId="0" applyFont="1" applyFill="1" applyBorder="1" applyAlignment="1" applyProtection="1" quotePrefix="1">
      <alignment horizontal="center" vertical="center" wrapText="1"/>
      <protection hidden="1"/>
    </xf>
    <xf numFmtId="0" fontId="37" fillId="42" borderId="0" xfId="0" applyFont="1" applyFill="1" applyBorder="1" applyAlignment="1" applyProtection="1">
      <alignment/>
      <protection hidden="1"/>
    </xf>
    <xf numFmtId="0" fontId="37" fillId="42" borderId="0" xfId="0" applyFont="1" applyFill="1" applyBorder="1" applyAlignment="1" applyProtection="1" quotePrefix="1">
      <alignment horizontal="left"/>
      <protection hidden="1"/>
    </xf>
    <xf numFmtId="0" fontId="36" fillId="42" borderId="0" xfId="0" applyFont="1" applyFill="1" applyBorder="1" applyAlignment="1" applyProtection="1">
      <alignment horizontal="center"/>
      <protection hidden="1"/>
    </xf>
    <xf numFmtId="0" fontId="41" fillId="42" borderId="29" xfId="0" applyFont="1" applyFill="1" applyBorder="1" applyAlignment="1" applyProtection="1">
      <alignment horizontal="left"/>
      <protection hidden="1"/>
    </xf>
    <xf numFmtId="0" fontId="36" fillId="42" borderId="15" xfId="78" applyFont="1" applyFill="1" applyBorder="1" applyAlignment="1" applyProtection="1">
      <alignment horizontal="center" wrapText="1"/>
      <protection locked="0"/>
    </xf>
    <xf numFmtId="0" fontId="36" fillId="42" borderId="0" xfId="78" applyFont="1" applyFill="1" applyBorder="1" applyAlignment="1" applyProtection="1">
      <alignment horizontal="center" wrapText="1"/>
      <protection locked="0"/>
    </xf>
    <xf numFmtId="0" fontId="36" fillId="42" borderId="16" xfId="78" applyFont="1" applyFill="1" applyBorder="1" applyAlignment="1" applyProtection="1">
      <alignment horizontal="center" wrapText="1"/>
      <protection locked="0"/>
    </xf>
    <xf numFmtId="0" fontId="36" fillId="42" borderId="12" xfId="78" applyFont="1" applyFill="1" applyBorder="1" applyAlignment="1" applyProtection="1" quotePrefix="1">
      <alignment horizontal="center" wrapText="1"/>
      <protection locked="0"/>
    </xf>
    <xf numFmtId="0" fontId="36" fillId="42" borderId="13" xfId="78" applyFont="1" applyFill="1" applyBorder="1" applyAlignment="1" applyProtection="1" quotePrefix="1">
      <alignment horizontal="center" wrapText="1"/>
      <protection locked="0"/>
    </xf>
    <xf numFmtId="0" fontId="36" fillId="42" borderId="14" xfId="78" applyFont="1" applyFill="1" applyBorder="1" applyAlignment="1" applyProtection="1" quotePrefix="1">
      <alignment horizontal="center" wrapText="1"/>
      <protection locked="0"/>
    </xf>
    <xf numFmtId="0" fontId="37" fillId="42" borderId="0" xfId="78" applyFont="1" applyFill="1" applyBorder="1" applyProtection="1">
      <alignment/>
      <protection locked="0"/>
    </xf>
    <xf numFmtId="0" fontId="37" fillId="42" borderId="16" xfId="78" applyFont="1" applyFill="1" applyBorder="1" applyProtection="1">
      <alignment/>
      <protection locked="0"/>
    </xf>
    <xf numFmtId="14" fontId="61" fillId="41" borderId="0" xfId="82" applyNumberFormat="1" applyFont="1" applyFill="1" applyAlignment="1" applyProtection="1">
      <alignment horizontal="center"/>
      <protection hidden="1"/>
    </xf>
    <xf numFmtId="176" fontId="56" fillId="41" borderId="0" xfId="82" applyNumberFormat="1" applyFont="1" applyFill="1" applyBorder="1" applyAlignment="1" applyProtection="1">
      <alignment horizontal="left"/>
      <protection hidden="1"/>
    </xf>
    <xf numFmtId="0" fontId="65" fillId="41" borderId="0" xfId="62" applyNumberFormat="1" applyFont="1" applyFill="1" applyAlignment="1" applyProtection="1">
      <alignment/>
      <protection hidden="1"/>
    </xf>
  </cellXfs>
  <cellStyles count="85">
    <cellStyle name="Normal" xfId="0"/>
    <cellStyle name="20% - Акцент1" xfId="15"/>
    <cellStyle name="20% — акцент1" xfId="16"/>
    <cellStyle name="20% - Акцент2" xfId="17"/>
    <cellStyle name="20% — акцент2" xfId="18"/>
    <cellStyle name="20% - Акцент3" xfId="19"/>
    <cellStyle name="20% — акцент3" xfId="20"/>
    <cellStyle name="20% - Акцент4" xfId="21"/>
    <cellStyle name="20% — акцент4" xfId="22"/>
    <cellStyle name="20% - Акцент5" xfId="23"/>
    <cellStyle name="20% — акцент5" xfId="24"/>
    <cellStyle name="20% - Акцент6" xfId="25"/>
    <cellStyle name="20% — акцент6" xfId="26"/>
    <cellStyle name="40% - Акцент1" xfId="27"/>
    <cellStyle name="40% — акцент1" xfId="28"/>
    <cellStyle name="40% - Акцент2" xfId="29"/>
    <cellStyle name="40% — акцент2" xfId="30"/>
    <cellStyle name="40% - Акцент3" xfId="31"/>
    <cellStyle name="40% — акцент3" xfId="32"/>
    <cellStyle name="40% - Акцент4" xfId="33"/>
    <cellStyle name="40% — акцент4" xfId="34"/>
    <cellStyle name="40% - Акцент5" xfId="35"/>
    <cellStyle name="40% — акцент5" xfId="36"/>
    <cellStyle name="40% - Акцент6" xfId="37"/>
    <cellStyle name="40% — акцент6" xfId="38"/>
    <cellStyle name="60% - Акцент1" xfId="39"/>
    <cellStyle name="60% — акцент1" xfId="40"/>
    <cellStyle name="60% - Акцент2" xfId="41"/>
    <cellStyle name="60% — акцент2" xfId="42"/>
    <cellStyle name="60% - Акцент3" xfId="43"/>
    <cellStyle name="60% — акцент3" xfId="44"/>
    <cellStyle name="60% - Акцент4" xfId="45"/>
    <cellStyle name="60% — акцент4" xfId="46"/>
    <cellStyle name="60% - Акцент5" xfId="47"/>
    <cellStyle name="60% — акцент5" xfId="48"/>
    <cellStyle name="60% - Акцент6" xfId="49"/>
    <cellStyle name="60% — акцент6" xfId="50"/>
    <cellStyle name="Абзац" xfId="51"/>
    <cellStyle name="Акцент1" xfId="52"/>
    <cellStyle name="Акцент2" xfId="53"/>
    <cellStyle name="Акцент3" xfId="54"/>
    <cellStyle name="Акцент4" xfId="55"/>
    <cellStyle name="Акцент5" xfId="56"/>
    <cellStyle name="Акцент6" xfId="57"/>
    <cellStyle name="Блок" xfId="58"/>
    <cellStyle name="Ввод " xfId="59"/>
    <cellStyle name="Вывод" xfId="60"/>
    <cellStyle name="Вычисление" xfId="61"/>
    <cellStyle name="Hyperlink" xfId="62"/>
    <cellStyle name="Дата" xfId="63"/>
    <cellStyle name="Currency" xfId="64"/>
    <cellStyle name="Currency [0]" xfId="65"/>
    <cellStyle name="Заголовок 1" xfId="66"/>
    <cellStyle name="Заголовок 2" xfId="67"/>
    <cellStyle name="Заголовок 3" xfId="68"/>
    <cellStyle name="Заголовок 4" xfId="69"/>
    <cellStyle name="ЗаголовокБланка" xfId="70"/>
    <cellStyle name="ЗаголовокТаблицы" xfId="71"/>
    <cellStyle name="ЗвездочкаСноски" xfId="72"/>
    <cellStyle name="Итог" xfId="73"/>
    <cellStyle name="Контрольная ячейка" xfId="74"/>
    <cellStyle name="Название" xfId="75"/>
    <cellStyle name="Нейтральный" xfId="76"/>
    <cellStyle name="Обычный 2" xfId="77"/>
    <cellStyle name="Обычный_$123222_016K" xfId="78"/>
    <cellStyle name="Обычный_Бланк платежного поручения (сокращенного)" xfId="79"/>
    <cellStyle name="Обычный_исходные данные" xfId="80"/>
    <cellStyle name="Обычный_Лист2" xfId="81"/>
    <cellStyle name="Обычный_ПС 112 электронный денежный перевод11111" xfId="82"/>
    <cellStyle name="Followed Hyperlink" xfId="83"/>
    <cellStyle name="Плохой" xfId="84"/>
    <cellStyle name="Подпись" xfId="85"/>
    <cellStyle name="Подстрочный" xfId="86"/>
    <cellStyle name="ПоляЗаполнения" xfId="87"/>
    <cellStyle name="Пояснение" xfId="88"/>
    <cellStyle name="Приложение" xfId="89"/>
    <cellStyle name="Примечание" xfId="90"/>
    <cellStyle name="Percent" xfId="91"/>
    <cellStyle name="Связанная ячейка" xfId="92"/>
    <cellStyle name="Табличный" xfId="93"/>
    <cellStyle name="Текст предупреждения" xfId="94"/>
    <cellStyle name="ТекстСноски" xfId="95"/>
    <cellStyle name="Comma" xfId="96"/>
    <cellStyle name="Comma [0]" xfId="97"/>
    <cellStyle name="Хороший" xfId="98"/>
  </cellStyles>
  <dxfs count="7">
    <dxf>
      <font>
        <color indexed="9"/>
      </font>
      <border>
        <left/>
        <right/>
        <top/>
        <bottom/>
      </border>
    </dxf>
    <dxf>
      <font>
        <color indexed="9"/>
      </font>
    </dxf>
    <dxf>
      <fill>
        <patternFill patternType="solid">
          <bgColor indexed="9"/>
        </patternFill>
      </fill>
    </dxf>
    <dxf>
      <font>
        <color indexed="9"/>
      </font>
      <fill>
        <patternFill patternType="solid">
          <bgColor indexed="9"/>
        </patternFill>
      </fill>
      <border>
        <left/>
        <right/>
        <top/>
        <bottom/>
      </border>
    </dxf>
    <dxf>
      <font>
        <color rgb="FFFFFFFF"/>
      </font>
      <fill>
        <patternFill patternType="solid">
          <bgColor rgb="FFFFFFFF"/>
        </patternFill>
      </fill>
      <border>
        <left>
          <color rgb="FF000000"/>
        </left>
        <right>
          <color rgb="FF000000"/>
        </right>
        <top>
          <color rgb="FF000000"/>
        </top>
        <bottom>
          <color rgb="FF000000"/>
        </bottom>
      </border>
    </dxf>
    <dxf>
      <font>
        <color rgb="FFFFFFFF"/>
      </font>
      <border/>
    </dxf>
    <dxf>
      <font>
        <color rgb="FFFFFFFF"/>
      </font>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B2:L15"/>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 customHeight="1"/>
  <cols>
    <col min="1" max="2" width="2.75390625" style="176" customWidth="1"/>
    <col min="3" max="3" width="96.875" style="176" customWidth="1"/>
    <col min="4" max="16384" width="2.75390625" style="176" customWidth="1"/>
  </cols>
  <sheetData>
    <row r="1" ht="12" customHeight="1" thickBot="1"/>
    <row r="2" spans="2:4" ht="12" customHeight="1">
      <c r="B2" s="177"/>
      <c r="C2" s="178"/>
      <c r="D2" s="179"/>
    </row>
    <row r="3" spans="2:4" ht="16.5" customHeight="1">
      <c r="B3" s="180"/>
      <c r="C3" s="187" t="s">
        <v>4</v>
      </c>
      <c r="D3" s="182"/>
    </row>
    <row r="4" spans="2:4" ht="12" customHeight="1">
      <c r="B4" s="180"/>
      <c r="C4" s="188"/>
      <c r="D4" s="182"/>
    </row>
    <row r="5" spans="2:4" ht="41.25" customHeight="1">
      <c r="B5" s="180"/>
      <c r="C5" s="186" t="s">
        <v>298</v>
      </c>
      <c r="D5" s="182"/>
    </row>
    <row r="6" spans="2:4" ht="42" customHeight="1">
      <c r="B6" s="180"/>
      <c r="C6" s="189" t="s">
        <v>299</v>
      </c>
      <c r="D6" s="182"/>
    </row>
    <row r="7" spans="2:4" ht="90" customHeight="1">
      <c r="B7" s="180"/>
      <c r="C7" s="186" t="s">
        <v>0</v>
      </c>
      <c r="D7" s="182"/>
    </row>
    <row r="8" spans="2:12" ht="96.75" customHeight="1">
      <c r="B8" s="180"/>
      <c r="C8" s="186" t="s">
        <v>1</v>
      </c>
      <c r="D8" s="182"/>
      <c r="L8" s="190"/>
    </row>
    <row r="9" spans="2:4" ht="45.75" customHeight="1">
      <c r="B9" s="180"/>
      <c r="C9" s="186" t="s">
        <v>2</v>
      </c>
      <c r="D9" s="182"/>
    </row>
    <row r="10" spans="2:4" ht="38.25" customHeight="1">
      <c r="B10" s="180"/>
      <c r="C10" s="186" t="s">
        <v>3</v>
      </c>
      <c r="D10" s="182"/>
    </row>
    <row r="11" spans="2:4" ht="12" customHeight="1">
      <c r="B11" s="180"/>
      <c r="C11" s="181"/>
      <c r="D11" s="182"/>
    </row>
    <row r="12" spans="2:4" ht="12" customHeight="1">
      <c r="B12" s="180"/>
      <c r="C12" s="181"/>
      <c r="D12" s="182"/>
    </row>
    <row r="13" spans="2:4" ht="12" customHeight="1">
      <c r="B13" s="180"/>
      <c r="C13" s="181"/>
      <c r="D13" s="182"/>
    </row>
    <row r="14" spans="2:4" ht="12" customHeight="1">
      <c r="B14" s="180"/>
      <c r="C14" s="181"/>
      <c r="D14" s="182"/>
    </row>
    <row r="15" spans="2:4" ht="12" customHeight="1" thickBot="1">
      <c r="B15" s="183"/>
      <c r="C15" s="184"/>
      <c r="D15" s="185"/>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2.xml><?xml version="1.0" encoding="utf-8"?>
<worksheet xmlns="http://schemas.openxmlformats.org/spreadsheetml/2006/main" xmlns:r="http://schemas.openxmlformats.org/officeDocument/2006/relationships">
  <sheetPr>
    <tabColor indexed="43"/>
  </sheetPr>
  <dimension ref="B1:D257"/>
  <sheetViews>
    <sheetView zoomScalePageLayoutView="0" workbookViewId="0" topLeftCell="A1">
      <pane ySplit="1" topLeftCell="A2" activePane="bottomLeft" state="frozen"/>
      <selection pane="topLeft" activeCell="A1" sqref="A1"/>
      <selection pane="bottomLeft" activeCell="A1" sqref="A1"/>
    </sheetView>
  </sheetViews>
  <sheetFormatPr defaultColWidth="9.00390625" defaultRowHeight="12" customHeight="1"/>
  <cols>
    <col min="1" max="2" width="2.75390625" style="176" customWidth="1"/>
    <col min="3" max="3" width="102.25390625" style="176" customWidth="1"/>
    <col min="4" max="23" width="2.75390625" style="176" customWidth="1"/>
    <col min="24" max="16384" width="9.125" style="176" customWidth="1"/>
  </cols>
  <sheetData>
    <row r="1" ht="15" customHeight="1" thickBot="1">
      <c r="C1" s="208" t="s">
        <v>91</v>
      </c>
    </row>
    <row r="2" spans="2:4" ht="12" customHeight="1">
      <c r="B2" s="177"/>
      <c r="C2" s="178"/>
      <c r="D2" s="179"/>
    </row>
    <row r="3" spans="2:4" ht="12" customHeight="1">
      <c r="B3" s="180"/>
      <c r="C3" s="202" t="s">
        <v>179</v>
      </c>
      <c r="D3" s="182"/>
    </row>
    <row r="4" spans="2:4" ht="12" customHeight="1">
      <c r="B4" s="180"/>
      <c r="C4" s="202" t="s">
        <v>180</v>
      </c>
      <c r="D4" s="182"/>
    </row>
    <row r="5" spans="2:4" ht="12" customHeight="1">
      <c r="B5" s="180"/>
      <c r="C5" s="202" t="s">
        <v>181</v>
      </c>
      <c r="D5" s="182"/>
    </row>
    <row r="6" spans="2:4" ht="12" customHeight="1">
      <c r="B6" s="180"/>
      <c r="C6" s="202" t="s">
        <v>182</v>
      </c>
      <c r="D6" s="182"/>
    </row>
    <row r="7" spans="2:4" ht="12" customHeight="1">
      <c r="B7" s="180"/>
      <c r="C7" s="202" t="s">
        <v>183</v>
      </c>
      <c r="D7" s="182"/>
    </row>
    <row r="8" spans="2:4" ht="12" customHeight="1">
      <c r="B8" s="180"/>
      <c r="C8" s="181"/>
      <c r="D8" s="182"/>
    </row>
    <row r="9" spans="2:4" ht="12" customHeight="1">
      <c r="B9" s="180"/>
      <c r="C9" s="203" t="s">
        <v>184</v>
      </c>
      <c r="D9" s="182"/>
    </row>
    <row r="10" spans="2:4" ht="12" customHeight="1">
      <c r="B10" s="180"/>
      <c r="C10" s="203" t="s">
        <v>185</v>
      </c>
      <c r="D10" s="182"/>
    </row>
    <row r="11" spans="2:4" ht="12" customHeight="1">
      <c r="B11" s="180"/>
      <c r="C11" s="181"/>
      <c r="D11" s="182"/>
    </row>
    <row r="12" spans="2:4" ht="12" customHeight="1">
      <c r="B12" s="180"/>
      <c r="C12" s="204" t="s">
        <v>186</v>
      </c>
      <c r="D12" s="182"/>
    </row>
    <row r="13" spans="2:4" ht="12" customHeight="1">
      <c r="B13" s="180"/>
      <c r="C13" s="204" t="s">
        <v>187</v>
      </c>
      <c r="D13" s="182"/>
    </row>
    <row r="14" spans="2:4" ht="12" customHeight="1">
      <c r="B14" s="180"/>
      <c r="C14" s="202"/>
      <c r="D14" s="182"/>
    </row>
    <row r="15" spans="2:4" ht="31.5">
      <c r="B15" s="180"/>
      <c r="C15" s="207" t="s">
        <v>188</v>
      </c>
      <c r="D15" s="182"/>
    </row>
    <row r="16" spans="2:4" ht="12" customHeight="1">
      <c r="B16" s="180"/>
      <c r="C16" s="207" t="s">
        <v>189</v>
      </c>
      <c r="D16" s="182"/>
    </row>
    <row r="17" spans="2:4" ht="12" customHeight="1">
      <c r="B17" s="180"/>
      <c r="C17" s="207" t="s">
        <v>190</v>
      </c>
      <c r="D17" s="182"/>
    </row>
    <row r="18" spans="2:4" ht="21">
      <c r="B18" s="180"/>
      <c r="C18" s="207" t="s">
        <v>125</v>
      </c>
      <c r="D18" s="182"/>
    </row>
    <row r="19" spans="2:4" ht="21">
      <c r="B19" s="180"/>
      <c r="C19" s="207" t="s">
        <v>191</v>
      </c>
      <c r="D19" s="182"/>
    </row>
    <row r="20" spans="2:4" ht="21">
      <c r="B20" s="180"/>
      <c r="C20" s="207" t="s">
        <v>192</v>
      </c>
      <c r="D20" s="182"/>
    </row>
    <row r="21" spans="2:4" ht="12.75">
      <c r="B21" s="180"/>
      <c r="C21" s="207" t="s">
        <v>193</v>
      </c>
      <c r="D21" s="182"/>
    </row>
    <row r="22" spans="2:4" ht="21">
      <c r="B22" s="180"/>
      <c r="C22" s="207" t="s">
        <v>194</v>
      </c>
      <c r="D22" s="182"/>
    </row>
    <row r="23" spans="2:4" ht="21">
      <c r="B23" s="180"/>
      <c r="C23" s="207" t="s">
        <v>92</v>
      </c>
      <c r="D23" s="182"/>
    </row>
    <row r="24" spans="2:4" ht="52.5">
      <c r="B24" s="180"/>
      <c r="C24" s="207" t="s">
        <v>93</v>
      </c>
      <c r="D24" s="182"/>
    </row>
    <row r="25" spans="2:4" ht="21">
      <c r="B25" s="180"/>
      <c r="C25" s="207" t="s">
        <v>195</v>
      </c>
      <c r="D25" s="182"/>
    </row>
    <row r="26" spans="2:4" ht="42">
      <c r="B26" s="180"/>
      <c r="C26" s="207" t="s">
        <v>126</v>
      </c>
      <c r="D26" s="182"/>
    </row>
    <row r="27" spans="2:4" ht="42">
      <c r="B27" s="180"/>
      <c r="C27" s="207" t="s">
        <v>127</v>
      </c>
      <c r="D27" s="182"/>
    </row>
    <row r="28" spans="2:4" ht="31.5">
      <c r="B28" s="180"/>
      <c r="C28" s="207" t="s">
        <v>128</v>
      </c>
      <c r="D28" s="182"/>
    </row>
    <row r="29" spans="2:4" ht="21">
      <c r="B29" s="180"/>
      <c r="C29" s="207" t="s">
        <v>196</v>
      </c>
      <c r="D29" s="182"/>
    </row>
    <row r="30" spans="2:4" ht="42">
      <c r="B30" s="180"/>
      <c r="C30" s="207" t="s">
        <v>94</v>
      </c>
      <c r="D30" s="182"/>
    </row>
    <row r="31" spans="2:4" ht="21">
      <c r="B31" s="180"/>
      <c r="C31" s="207" t="s">
        <v>197</v>
      </c>
      <c r="D31" s="182"/>
    </row>
    <row r="32" spans="2:4" ht="31.5">
      <c r="B32" s="180"/>
      <c r="C32" s="207" t="s">
        <v>95</v>
      </c>
      <c r="D32" s="182"/>
    </row>
    <row r="33" spans="2:4" ht="12" customHeight="1">
      <c r="B33" s="180"/>
      <c r="C33" s="207" t="s">
        <v>198</v>
      </c>
      <c r="D33" s="182"/>
    </row>
    <row r="34" spans="2:4" ht="21">
      <c r="B34" s="180"/>
      <c r="C34" s="207" t="s">
        <v>129</v>
      </c>
      <c r="D34" s="182"/>
    </row>
    <row r="35" spans="2:4" ht="12" customHeight="1">
      <c r="B35" s="180"/>
      <c r="C35" s="430" t="s">
        <v>96</v>
      </c>
      <c r="D35" s="182"/>
    </row>
    <row r="36" spans="2:4" ht="12" customHeight="1">
      <c r="B36" s="180"/>
      <c r="C36" s="430"/>
      <c r="D36" s="182"/>
    </row>
    <row r="37" spans="2:4" ht="12" customHeight="1">
      <c r="B37" s="180"/>
      <c r="C37" s="204" t="s">
        <v>199</v>
      </c>
      <c r="D37" s="182"/>
    </row>
    <row r="38" spans="2:4" ht="12" customHeight="1">
      <c r="B38" s="180"/>
      <c r="C38" s="204" t="s">
        <v>200</v>
      </c>
      <c r="D38" s="182"/>
    </row>
    <row r="39" spans="2:4" ht="12" customHeight="1">
      <c r="B39" s="180"/>
      <c r="C39" s="202"/>
      <c r="D39" s="182"/>
    </row>
    <row r="40" spans="2:4" ht="63">
      <c r="B40" s="180"/>
      <c r="C40" s="207" t="s">
        <v>201</v>
      </c>
      <c r="D40" s="182"/>
    </row>
    <row r="41" spans="2:4" ht="21">
      <c r="B41" s="180"/>
      <c r="C41" s="207" t="s">
        <v>202</v>
      </c>
      <c r="D41" s="182"/>
    </row>
    <row r="42" spans="2:4" ht="12" customHeight="1">
      <c r="B42" s="180"/>
      <c r="C42" s="207" t="s">
        <v>203</v>
      </c>
      <c r="D42" s="182"/>
    </row>
    <row r="43" spans="2:4" ht="21">
      <c r="B43" s="180"/>
      <c r="C43" s="207" t="s">
        <v>204</v>
      </c>
      <c r="D43" s="182"/>
    </row>
    <row r="44" spans="2:4" ht="42">
      <c r="B44" s="180"/>
      <c r="C44" s="207" t="s">
        <v>130</v>
      </c>
      <c r="D44" s="182"/>
    </row>
    <row r="45" spans="2:4" ht="12" customHeight="1">
      <c r="B45" s="180"/>
      <c r="C45" s="207" t="s">
        <v>205</v>
      </c>
      <c r="D45" s="182"/>
    </row>
    <row r="46" spans="2:4" ht="63">
      <c r="B46" s="180"/>
      <c r="C46" s="207" t="s">
        <v>206</v>
      </c>
      <c r="D46" s="182"/>
    </row>
    <row r="47" spans="2:4" ht="21">
      <c r="B47" s="180"/>
      <c r="C47" s="207" t="s">
        <v>207</v>
      </c>
      <c r="D47" s="182"/>
    </row>
    <row r="48" spans="2:4" ht="31.5">
      <c r="B48" s="180"/>
      <c r="C48" s="207" t="s">
        <v>208</v>
      </c>
      <c r="D48" s="182"/>
    </row>
    <row r="49" spans="2:4" ht="12" customHeight="1">
      <c r="B49" s="180"/>
      <c r="C49" s="207" t="s">
        <v>209</v>
      </c>
      <c r="D49" s="182"/>
    </row>
    <row r="50" spans="2:4" ht="12" customHeight="1">
      <c r="B50" s="180"/>
      <c r="C50" s="207" t="s">
        <v>210</v>
      </c>
      <c r="D50" s="182"/>
    </row>
    <row r="51" spans="2:4" ht="12" customHeight="1">
      <c r="B51" s="180"/>
      <c r="C51" s="207" t="s">
        <v>211</v>
      </c>
      <c r="D51" s="182"/>
    </row>
    <row r="52" spans="2:4" ht="21">
      <c r="B52" s="180"/>
      <c r="C52" s="207" t="s">
        <v>213</v>
      </c>
      <c r="D52" s="182"/>
    </row>
    <row r="53" spans="2:4" ht="52.5">
      <c r="B53" s="180"/>
      <c r="C53" s="207" t="s">
        <v>131</v>
      </c>
      <c r="D53" s="182"/>
    </row>
    <row r="54" spans="2:4" ht="31.5">
      <c r="B54" s="180"/>
      <c r="C54" s="207" t="s">
        <v>214</v>
      </c>
      <c r="D54" s="182"/>
    </row>
    <row r="55" spans="2:4" ht="12" customHeight="1">
      <c r="B55" s="180"/>
      <c r="C55" s="207" t="s">
        <v>215</v>
      </c>
      <c r="D55" s="182"/>
    </row>
    <row r="56" spans="2:4" ht="52.5">
      <c r="B56" s="180"/>
      <c r="C56" s="207" t="s">
        <v>132</v>
      </c>
      <c r="D56" s="182"/>
    </row>
    <row r="57" spans="2:4" ht="21">
      <c r="B57" s="180"/>
      <c r="C57" s="207" t="s">
        <v>216</v>
      </c>
      <c r="D57" s="182"/>
    </row>
    <row r="58" spans="2:4" ht="52.5">
      <c r="B58" s="180"/>
      <c r="C58" s="207" t="s">
        <v>217</v>
      </c>
      <c r="D58" s="182"/>
    </row>
    <row r="59" spans="2:4" ht="21">
      <c r="B59" s="180"/>
      <c r="C59" s="207" t="s">
        <v>218</v>
      </c>
      <c r="D59" s="182"/>
    </row>
    <row r="60" spans="2:4" ht="42">
      <c r="B60" s="180"/>
      <c r="C60" s="207" t="s">
        <v>219</v>
      </c>
      <c r="D60" s="182"/>
    </row>
    <row r="61" spans="2:4" ht="31.5">
      <c r="B61" s="180"/>
      <c r="C61" s="207" t="s">
        <v>220</v>
      </c>
      <c r="D61" s="182"/>
    </row>
    <row r="62" spans="2:4" ht="12" customHeight="1">
      <c r="B62" s="180"/>
      <c r="C62" s="207" t="s">
        <v>221</v>
      </c>
      <c r="D62" s="182"/>
    </row>
    <row r="63" spans="2:4" ht="12" customHeight="1">
      <c r="B63" s="180"/>
      <c r="C63" s="207" t="s">
        <v>222</v>
      </c>
      <c r="D63" s="182"/>
    </row>
    <row r="64" spans="2:4" ht="63">
      <c r="B64" s="180"/>
      <c r="C64" s="207" t="s">
        <v>223</v>
      </c>
      <c r="D64" s="182"/>
    </row>
    <row r="65" spans="2:4" ht="21">
      <c r="B65" s="180"/>
      <c r="C65" s="207" t="s">
        <v>224</v>
      </c>
      <c r="D65" s="182"/>
    </row>
    <row r="66" spans="2:4" ht="21">
      <c r="B66" s="180"/>
      <c r="C66" s="207" t="s">
        <v>225</v>
      </c>
      <c r="D66" s="182"/>
    </row>
    <row r="67" spans="2:4" ht="12" customHeight="1">
      <c r="B67" s="180"/>
      <c r="C67" s="207" t="s">
        <v>226</v>
      </c>
      <c r="D67" s="182"/>
    </row>
    <row r="68" spans="2:4" ht="21">
      <c r="B68" s="180"/>
      <c r="C68" s="207" t="s">
        <v>227</v>
      </c>
      <c r="D68" s="182"/>
    </row>
    <row r="69" spans="2:4" ht="112.5" customHeight="1">
      <c r="B69" s="180"/>
      <c r="C69" s="207" t="s">
        <v>133</v>
      </c>
      <c r="D69" s="182"/>
    </row>
    <row r="70" spans="2:4" ht="31.5">
      <c r="B70" s="180"/>
      <c r="C70" s="207" t="s">
        <v>228</v>
      </c>
      <c r="D70" s="182"/>
    </row>
    <row r="71" spans="2:4" ht="31.5">
      <c r="B71" s="180"/>
      <c r="C71" s="207" t="s">
        <v>229</v>
      </c>
      <c r="D71" s="182"/>
    </row>
    <row r="72" spans="2:4" ht="21">
      <c r="B72" s="180"/>
      <c r="C72" s="207" t="s">
        <v>134</v>
      </c>
      <c r="D72" s="182"/>
    </row>
    <row r="73" spans="2:4" ht="12.75">
      <c r="B73" s="180"/>
      <c r="C73" s="202"/>
      <c r="D73" s="182"/>
    </row>
    <row r="74" spans="2:4" ht="12" customHeight="1">
      <c r="B74" s="180"/>
      <c r="C74" s="204" t="s">
        <v>230</v>
      </c>
      <c r="D74" s="182"/>
    </row>
    <row r="75" spans="2:4" ht="12" customHeight="1">
      <c r="B75" s="180"/>
      <c r="C75" s="204" t="s">
        <v>231</v>
      </c>
      <c r="D75" s="182"/>
    </row>
    <row r="76" spans="2:4" ht="12" customHeight="1">
      <c r="B76" s="180"/>
      <c r="C76" s="202"/>
      <c r="D76" s="182"/>
    </row>
    <row r="77" spans="2:4" ht="42">
      <c r="B77" s="180"/>
      <c r="C77" s="207" t="s">
        <v>232</v>
      </c>
      <c r="D77" s="182"/>
    </row>
    <row r="78" spans="2:4" ht="52.5">
      <c r="B78" s="180"/>
      <c r="C78" s="207" t="s">
        <v>135</v>
      </c>
      <c r="D78" s="182"/>
    </row>
    <row r="79" spans="2:4" ht="21">
      <c r="B79" s="180"/>
      <c r="C79" s="207" t="s">
        <v>233</v>
      </c>
      <c r="D79" s="182"/>
    </row>
    <row r="80" spans="2:4" ht="42">
      <c r="B80" s="180"/>
      <c r="C80" s="207" t="s">
        <v>97</v>
      </c>
      <c r="D80" s="182"/>
    </row>
    <row r="81" spans="2:4" ht="42">
      <c r="B81" s="180"/>
      <c r="C81" s="207" t="s">
        <v>234</v>
      </c>
      <c r="D81" s="182"/>
    </row>
    <row r="82" spans="2:4" ht="63">
      <c r="B82" s="180"/>
      <c r="C82" s="207" t="s">
        <v>98</v>
      </c>
      <c r="D82" s="182"/>
    </row>
    <row r="83" spans="2:4" ht="52.5">
      <c r="B83" s="180"/>
      <c r="C83" s="207" t="s">
        <v>99</v>
      </c>
      <c r="D83" s="182"/>
    </row>
    <row r="84" spans="2:4" ht="73.5">
      <c r="B84" s="180"/>
      <c r="C84" s="207" t="s">
        <v>136</v>
      </c>
      <c r="D84" s="182"/>
    </row>
    <row r="85" spans="2:4" ht="31.5">
      <c r="B85" s="180"/>
      <c r="C85" s="207" t="s">
        <v>100</v>
      </c>
      <c r="D85" s="182"/>
    </row>
    <row r="86" spans="2:4" ht="21">
      <c r="B86" s="180"/>
      <c r="C86" s="207" t="s">
        <v>235</v>
      </c>
      <c r="D86" s="182"/>
    </row>
    <row r="87" spans="2:4" ht="31.5">
      <c r="B87" s="180"/>
      <c r="C87" s="207" t="s">
        <v>236</v>
      </c>
      <c r="D87" s="182"/>
    </row>
    <row r="88" spans="2:4" ht="31.5">
      <c r="B88" s="180"/>
      <c r="C88" s="207" t="s">
        <v>137</v>
      </c>
      <c r="D88" s="182"/>
    </row>
    <row r="89" spans="2:4" ht="31.5">
      <c r="B89" s="180"/>
      <c r="C89" s="207" t="s">
        <v>239</v>
      </c>
      <c r="D89" s="182"/>
    </row>
    <row r="90" spans="2:4" ht="21">
      <c r="B90" s="180"/>
      <c r="C90" s="207" t="s">
        <v>240</v>
      </c>
      <c r="D90" s="182"/>
    </row>
    <row r="91" spans="2:4" ht="52.5">
      <c r="B91" s="180"/>
      <c r="C91" s="207" t="s">
        <v>241</v>
      </c>
      <c r="D91" s="182"/>
    </row>
    <row r="92" spans="2:4" ht="21">
      <c r="B92" s="180"/>
      <c r="C92" s="207" t="s">
        <v>242</v>
      </c>
      <c r="D92" s="182"/>
    </row>
    <row r="93" spans="2:4" ht="31.5">
      <c r="B93" s="180"/>
      <c r="C93" s="207" t="s">
        <v>243</v>
      </c>
      <c r="D93" s="182"/>
    </row>
    <row r="94" spans="2:4" ht="31.5">
      <c r="B94" s="180"/>
      <c r="C94" s="207" t="s">
        <v>244</v>
      </c>
      <c r="D94" s="182"/>
    </row>
    <row r="95" spans="2:4" ht="12.75">
      <c r="B95" s="180"/>
      <c r="C95" s="207" t="s">
        <v>245</v>
      </c>
      <c r="D95" s="182"/>
    </row>
    <row r="96" spans="2:4" ht="21">
      <c r="B96" s="180"/>
      <c r="C96" s="207" t="s">
        <v>247</v>
      </c>
      <c r="D96" s="182"/>
    </row>
    <row r="97" spans="2:4" ht="42">
      <c r="B97" s="180"/>
      <c r="C97" s="207" t="s">
        <v>248</v>
      </c>
      <c r="D97" s="182"/>
    </row>
    <row r="98" spans="2:4" ht="52.5">
      <c r="B98" s="180"/>
      <c r="C98" s="207" t="s">
        <v>138</v>
      </c>
      <c r="D98" s="182"/>
    </row>
    <row r="99" spans="2:4" ht="31.5">
      <c r="B99" s="180"/>
      <c r="C99" s="207" t="s">
        <v>139</v>
      </c>
      <c r="D99" s="182"/>
    </row>
    <row r="100" spans="2:4" ht="42">
      <c r="B100" s="180"/>
      <c r="C100" s="207" t="s">
        <v>140</v>
      </c>
      <c r="D100" s="182"/>
    </row>
    <row r="101" spans="2:4" ht="21">
      <c r="B101" s="180"/>
      <c r="C101" s="207" t="s">
        <v>141</v>
      </c>
      <c r="D101" s="182"/>
    </row>
    <row r="102" spans="2:4" ht="63">
      <c r="B102" s="180"/>
      <c r="C102" s="207" t="s">
        <v>101</v>
      </c>
      <c r="D102" s="182"/>
    </row>
    <row r="103" spans="2:4" ht="21">
      <c r="B103" s="180"/>
      <c r="C103" s="207" t="s">
        <v>249</v>
      </c>
      <c r="D103" s="182"/>
    </row>
    <row r="104" spans="2:4" ht="12" customHeight="1">
      <c r="B104" s="180"/>
      <c r="C104" s="207" t="s">
        <v>102</v>
      </c>
      <c r="D104" s="182"/>
    </row>
    <row r="105" spans="2:4" ht="12" customHeight="1">
      <c r="B105" s="180"/>
      <c r="C105" s="207" t="s">
        <v>250</v>
      </c>
      <c r="D105" s="182"/>
    </row>
    <row r="106" spans="2:4" ht="12" customHeight="1">
      <c r="B106" s="180"/>
      <c r="C106" s="207" t="s">
        <v>251</v>
      </c>
      <c r="D106" s="182"/>
    </row>
    <row r="107" spans="2:4" ht="12" customHeight="1">
      <c r="B107" s="180"/>
      <c r="C107" s="207" t="s">
        <v>252</v>
      </c>
      <c r="D107" s="182"/>
    </row>
    <row r="108" spans="2:4" ht="12.75">
      <c r="B108" s="180"/>
      <c r="C108" s="207" t="s">
        <v>253</v>
      </c>
      <c r="D108" s="182"/>
    </row>
    <row r="109" spans="2:4" ht="63">
      <c r="B109" s="180"/>
      <c r="C109" s="207" t="s">
        <v>142</v>
      </c>
      <c r="D109" s="182"/>
    </row>
    <row r="110" spans="2:4" ht="73.5">
      <c r="B110" s="180"/>
      <c r="C110" s="207" t="s">
        <v>143</v>
      </c>
      <c r="D110" s="182"/>
    </row>
    <row r="111" spans="2:4" ht="31.5">
      <c r="B111" s="180"/>
      <c r="C111" s="207" t="s">
        <v>254</v>
      </c>
      <c r="D111" s="182"/>
    </row>
    <row r="112" spans="2:4" ht="31.5">
      <c r="B112" s="180"/>
      <c r="C112" s="207" t="s">
        <v>103</v>
      </c>
      <c r="D112" s="182"/>
    </row>
    <row r="113" spans="2:4" ht="12.75">
      <c r="B113" s="180"/>
      <c r="C113" s="207" t="s">
        <v>255</v>
      </c>
      <c r="D113" s="182"/>
    </row>
    <row r="114" spans="2:4" ht="63">
      <c r="B114" s="180"/>
      <c r="C114" s="207" t="s">
        <v>104</v>
      </c>
      <c r="D114" s="182"/>
    </row>
    <row r="115" spans="2:4" ht="31.5">
      <c r="B115" s="180"/>
      <c r="C115" s="207" t="s">
        <v>256</v>
      </c>
      <c r="D115" s="182"/>
    </row>
    <row r="116" spans="2:4" ht="63">
      <c r="B116" s="180"/>
      <c r="C116" s="207" t="s">
        <v>144</v>
      </c>
      <c r="D116" s="182"/>
    </row>
    <row r="117" spans="2:4" ht="38.25" customHeight="1">
      <c r="B117" s="180"/>
      <c r="C117" s="207" t="s">
        <v>257</v>
      </c>
      <c r="D117" s="182"/>
    </row>
    <row r="118" spans="2:4" ht="31.5">
      <c r="B118" s="180"/>
      <c r="C118" s="207" t="s">
        <v>258</v>
      </c>
      <c r="D118" s="182"/>
    </row>
    <row r="119" spans="2:4" ht="21">
      <c r="B119" s="180"/>
      <c r="C119" s="207" t="s">
        <v>145</v>
      </c>
      <c r="D119" s="182"/>
    </row>
    <row r="120" spans="2:4" ht="42">
      <c r="B120" s="180"/>
      <c r="C120" s="207" t="s">
        <v>146</v>
      </c>
      <c r="D120" s="182"/>
    </row>
    <row r="121" spans="2:4" ht="12.75">
      <c r="B121" s="180"/>
      <c r="C121" s="207" t="s">
        <v>259</v>
      </c>
      <c r="D121" s="182"/>
    </row>
    <row r="122" spans="2:4" ht="21">
      <c r="B122" s="180"/>
      <c r="C122" s="207" t="s">
        <v>260</v>
      </c>
      <c r="D122" s="182"/>
    </row>
    <row r="123" spans="2:4" ht="42">
      <c r="B123" s="180"/>
      <c r="C123" s="207" t="s">
        <v>261</v>
      </c>
      <c r="D123" s="182"/>
    </row>
    <row r="124" spans="2:4" ht="52.5">
      <c r="B124" s="180"/>
      <c r="C124" s="207" t="s">
        <v>262</v>
      </c>
      <c r="D124" s="182"/>
    </row>
    <row r="125" spans="2:4" ht="12" customHeight="1">
      <c r="B125" s="180"/>
      <c r="C125" s="207" t="s">
        <v>263</v>
      </c>
      <c r="D125" s="182"/>
    </row>
    <row r="126" spans="2:4" ht="12.75">
      <c r="B126" s="180"/>
      <c r="C126" s="207" t="s">
        <v>259</v>
      </c>
      <c r="D126" s="182"/>
    </row>
    <row r="127" spans="2:4" ht="21">
      <c r="B127" s="180"/>
      <c r="C127" s="207" t="s">
        <v>260</v>
      </c>
      <c r="D127" s="182"/>
    </row>
    <row r="128" spans="2:4" ht="42">
      <c r="B128" s="180"/>
      <c r="C128" s="207" t="s">
        <v>264</v>
      </c>
      <c r="D128" s="182"/>
    </row>
    <row r="129" spans="2:4" ht="52.5">
      <c r="B129" s="180"/>
      <c r="C129" s="207" t="s">
        <v>147</v>
      </c>
      <c r="D129" s="182"/>
    </row>
    <row r="130" spans="2:4" ht="21">
      <c r="B130" s="180"/>
      <c r="C130" s="207" t="s">
        <v>105</v>
      </c>
      <c r="D130" s="182"/>
    </row>
    <row r="131" spans="2:4" ht="42">
      <c r="B131" s="180"/>
      <c r="C131" s="207" t="s">
        <v>265</v>
      </c>
      <c r="D131" s="182"/>
    </row>
    <row r="132" spans="2:4" ht="12" customHeight="1">
      <c r="B132" s="180"/>
      <c r="C132" s="430" t="s">
        <v>266</v>
      </c>
      <c r="D132" s="182"/>
    </row>
    <row r="133" spans="2:4" ht="12" customHeight="1">
      <c r="B133" s="180"/>
      <c r="C133" s="430"/>
      <c r="D133" s="182"/>
    </row>
    <row r="134" spans="2:4" ht="12" customHeight="1">
      <c r="B134" s="180"/>
      <c r="C134" s="204" t="s">
        <v>267</v>
      </c>
      <c r="D134" s="182"/>
    </row>
    <row r="135" spans="2:4" ht="12" customHeight="1">
      <c r="B135" s="180"/>
      <c r="C135" s="204" t="s">
        <v>268</v>
      </c>
      <c r="D135" s="182"/>
    </row>
    <row r="136" spans="2:4" ht="12" customHeight="1">
      <c r="B136" s="180"/>
      <c r="C136" s="202"/>
      <c r="D136" s="182"/>
    </row>
    <row r="137" spans="2:4" ht="42">
      <c r="B137" s="180"/>
      <c r="C137" s="207" t="s">
        <v>106</v>
      </c>
      <c r="D137" s="182"/>
    </row>
    <row r="138" spans="2:4" ht="31.5">
      <c r="B138" s="180"/>
      <c r="C138" s="207" t="s">
        <v>107</v>
      </c>
      <c r="D138" s="182"/>
    </row>
    <row r="139" spans="2:4" ht="42">
      <c r="B139" s="180"/>
      <c r="C139" s="207" t="s">
        <v>108</v>
      </c>
      <c r="D139" s="182"/>
    </row>
    <row r="140" spans="2:4" ht="21">
      <c r="B140" s="180"/>
      <c r="C140" s="207" t="s">
        <v>269</v>
      </c>
      <c r="D140" s="182"/>
    </row>
    <row r="141" spans="2:4" ht="63">
      <c r="B141" s="180"/>
      <c r="C141" s="207" t="s">
        <v>109</v>
      </c>
      <c r="D141" s="182"/>
    </row>
    <row r="142" spans="2:4" ht="73.5">
      <c r="B142" s="180"/>
      <c r="C142" s="207" t="s">
        <v>110</v>
      </c>
      <c r="D142" s="182"/>
    </row>
    <row r="143" spans="2:4" ht="31.5">
      <c r="B143" s="180"/>
      <c r="C143" s="207" t="s">
        <v>111</v>
      </c>
      <c r="D143" s="182"/>
    </row>
    <row r="144" spans="2:4" ht="42">
      <c r="B144" s="180"/>
      <c r="C144" s="207" t="s">
        <v>270</v>
      </c>
      <c r="D144" s="182"/>
    </row>
    <row r="145" spans="2:4" ht="42">
      <c r="B145" s="180"/>
      <c r="C145" s="207" t="s">
        <v>271</v>
      </c>
      <c r="D145" s="182"/>
    </row>
    <row r="146" spans="2:4" ht="63">
      <c r="B146" s="180"/>
      <c r="C146" s="207" t="s">
        <v>112</v>
      </c>
      <c r="D146" s="182"/>
    </row>
    <row r="147" spans="2:4" ht="42">
      <c r="B147" s="180"/>
      <c r="C147" s="207" t="s">
        <v>113</v>
      </c>
      <c r="D147" s="182"/>
    </row>
    <row r="148" spans="2:4" ht="21">
      <c r="B148" s="180"/>
      <c r="C148" s="207" t="s">
        <v>272</v>
      </c>
      <c r="D148" s="182"/>
    </row>
    <row r="149" spans="2:4" ht="31.5">
      <c r="B149" s="180"/>
      <c r="C149" s="207" t="s">
        <v>273</v>
      </c>
      <c r="D149" s="182"/>
    </row>
    <row r="150" spans="2:4" ht="12.75">
      <c r="B150" s="180"/>
      <c r="C150" s="207" t="s">
        <v>274</v>
      </c>
      <c r="D150" s="182"/>
    </row>
    <row r="151" spans="2:4" ht="31.5">
      <c r="B151" s="180"/>
      <c r="C151" s="207" t="s">
        <v>275</v>
      </c>
      <c r="D151" s="182"/>
    </row>
    <row r="152" spans="2:4" ht="31.5">
      <c r="B152" s="180"/>
      <c r="C152" s="207" t="s">
        <v>276</v>
      </c>
      <c r="D152" s="182"/>
    </row>
    <row r="153" spans="2:4" ht="42">
      <c r="B153" s="180"/>
      <c r="C153" s="207" t="s">
        <v>8</v>
      </c>
      <c r="D153" s="182"/>
    </row>
    <row r="154" spans="2:4" ht="21">
      <c r="B154" s="180"/>
      <c r="C154" s="207" t="s">
        <v>114</v>
      </c>
      <c r="D154" s="182"/>
    </row>
    <row r="155" spans="2:4" ht="12" customHeight="1">
      <c r="B155" s="180"/>
      <c r="C155" s="207" t="s">
        <v>277</v>
      </c>
      <c r="D155" s="182"/>
    </row>
    <row r="156" spans="2:4" ht="12.75">
      <c r="B156" s="180"/>
      <c r="C156" s="207" t="s">
        <v>278</v>
      </c>
      <c r="D156" s="182"/>
    </row>
    <row r="157" spans="2:4" ht="12" customHeight="1">
      <c r="B157" s="180"/>
      <c r="C157" s="207" t="s">
        <v>279</v>
      </c>
      <c r="D157" s="182"/>
    </row>
    <row r="158" spans="2:4" ht="12.75">
      <c r="B158" s="180"/>
      <c r="C158" s="207" t="s">
        <v>280</v>
      </c>
      <c r="D158" s="182"/>
    </row>
    <row r="159" spans="2:4" ht="12.75">
      <c r="B159" s="180"/>
      <c r="C159" s="207" t="s">
        <v>281</v>
      </c>
      <c r="D159" s="182"/>
    </row>
    <row r="160" spans="2:4" ht="12" customHeight="1">
      <c r="B160" s="180"/>
      <c r="C160" s="207" t="s">
        <v>289</v>
      </c>
      <c r="D160" s="182"/>
    </row>
    <row r="161" spans="2:4" ht="12.75">
      <c r="B161" s="180"/>
      <c r="C161" s="207" t="s">
        <v>290</v>
      </c>
      <c r="D161" s="182"/>
    </row>
    <row r="162" spans="2:4" ht="31.5">
      <c r="B162" s="180"/>
      <c r="C162" s="207" t="s">
        <v>291</v>
      </c>
      <c r="D162" s="182"/>
    </row>
    <row r="163" spans="2:4" ht="52.5">
      <c r="B163" s="180"/>
      <c r="C163" s="207" t="s">
        <v>292</v>
      </c>
      <c r="D163" s="182"/>
    </row>
    <row r="164" spans="2:4" ht="12" customHeight="1">
      <c r="B164" s="180"/>
      <c r="C164" s="430" t="s">
        <v>293</v>
      </c>
      <c r="D164" s="182"/>
    </row>
    <row r="165" spans="2:4" ht="12" customHeight="1">
      <c r="B165" s="180"/>
      <c r="C165" s="430" t="s">
        <v>294</v>
      </c>
      <c r="D165" s="182"/>
    </row>
    <row r="166" spans="2:4" ht="12" customHeight="1">
      <c r="B166" s="180"/>
      <c r="C166" s="430" t="s">
        <v>295</v>
      </c>
      <c r="D166" s="182"/>
    </row>
    <row r="167" spans="2:4" ht="12" customHeight="1">
      <c r="B167" s="180"/>
      <c r="C167" s="430" t="s">
        <v>296</v>
      </c>
      <c r="D167" s="182"/>
    </row>
    <row r="168" spans="2:4" ht="12" customHeight="1" thickBot="1">
      <c r="B168" s="183"/>
      <c r="C168" s="205"/>
      <c r="D168" s="185"/>
    </row>
    <row r="169" ht="12" customHeight="1">
      <c r="C169" s="206"/>
    </row>
    <row r="170" ht="12" customHeight="1">
      <c r="C170" s="206"/>
    </row>
    <row r="171" ht="12" customHeight="1">
      <c r="C171" s="206"/>
    </row>
    <row r="172" ht="12" customHeight="1">
      <c r="C172" s="206"/>
    </row>
    <row r="173" ht="12" customHeight="1">
      <c r="C173" s="206"/>
    </row>
    <row r="174" ht="12" customHeight="1">
      <c r="C174" s="206"/>
    </row>
    <row r="175" ht="12" customHeight="1">
      <c r="C175" s="206"/>
    </row>
    <row r="176" ht="12" customHeight="1">
      <c r="C176" s="206"/>
    </row>
    <row r="177" ht="12" customHeight="1">
      <c r="C177" s="206"/>
    </row>
    <row r="178" ht="12" customHeight="1">
      <c r="C178" s="206"/>
    </row>
    <row r="179" ht="12" customHeight="1">
      <c r="C179" s="206"/>
    </row>
    <row r="180" ht="12" customHeight="1">
      <c r="C180" s="206"/>
    </row>
    <row r="181" ht="12" customHeight="1">
      <c r="C181" s="206"/>
    </row>
    <row r="182" ht="12" customHeight="1">
      <c r="C182" s="206"/>
    </row>
    <row r="183" ht="12" customHeight="1">
      <c r="C183" s="206"/>
    </row>
    <row r="184" ht="12" customHeight="1">
      <c r="C184" s="206"/>
    </row>
    <row r="185" ht="12" customHeight="1">
      <c r="C185" s="206"/>
    </row>
    <row r="186" ht="12" customHeight="1">
      <c r="C186" s="206"/>
    </row>
    <row r="187" ht="12" customHeight="1">
      <c r="C187" s="206"/>
    </row>
    <row r="188" ht="12" customHeight="1">
      <c r="C188" s="206"/>
    </row>
    <row r="189" ht="12" customHeight="1">
      <c r="C189" s="206"/>
    </row>
    <row r="190" ht="12" customHeight="1">
      <c r="C190" s="206"/>
    </row>
    <row r="191" ht="12" customHeight="1">
      <c r="C191" s="206"/>
    </row>
    <row r="192" ht="12" customHeight="1">
      <c r="C192" s="206"/>
    </row>
    <row r="193" ht="12" customHeight="1">
      <c r="C193" s="206"/>
    </row>
    <row r="194" ht="12" customHeight="1">
      <c r="C194" s="206"/>
    </row>
    <row r="195" ht="12" customHeight="1">
      <c r="C195" s="206"/>
    </row>
    <row r="196" ht="12" customHeight="1">
      <c r="C196" s="206"/>
    </row>
    <row r="197" ht="12" customHeight="1">
      <c r="C197" s="206"/>
    </row>
    <row r="198" ht="12" customHeight="1">
      <c r="C198" s="206"/>
    </row>
    <row r="199" ht="12" customHeight="1">
      <c r="C199" s="206"/>
    </row>
    <row r="200" ht="12" customHeight="1">
      <c r="C200" s="206"/>
    </row>
    <row r="201" ht="12" customHeight="1">
      <c r="C201" s="206"/>
    </row>
    <row r="202" ht="12" customHeight="1">
      <c r="C202" s="206"/>
    </row>
    <row r="203" ht="12" customHeight="1">
      <c r="C203" s="206"/>
    </row>
    <row r="204" ht="12" customHeight="1">
      <c r="C204" s="206"/>
    </row>
    <row r="205" ht="12" customHeight="1">
      <c r="C205" s="206"/>
    </row>
    <row r="206" ht="12" customHeight="1">
      <c r="C206" s="206"/>
    </row>
    <row r="207" ht="12" customHeight="1">
      <c r="C207" s="206"/>
    </row>
    <row r="208" ht="12" customHeight="1">
      <c r="C208" s="206"/>
    </row>
    <row r="209" ht="12" customHeight="1">
      <c r="C209" s="206"/>
    </row>
    <row r="210" ht="12" customHeight="1">
      <c r="C210" s="206"/>
    </row>
    <row r="211" ht="12" customHeight="1">
      <c r="C211" s="206"/>
    </row>
    <row r="212" ht="12" customHeight="1">
      <c r="C212" s="206"/>
    </row>
    <row r="213" ht="12" customHeight="1">
      <c r="C213" s="206"/>
    </row>
    <row r="214" ht="12" customHeight="1">
      <c r="C214" s="206"/>
    </row>
    <row r="215" ht="12" customHeight="1">
      <c r="C215" s="206"/>
    </row>
    <row r="216" ht="12" customHeight="1">
      <c r="C216" s="206"/>
    </row>
    <row r="217" ht="12" customHeight="1">
      <c r="C217" s="206"/>
    </row>
    <row r="218" ht="12" customHeight="1">
      <c r="C218" s="206"/>
    </row>
    <row r="219" ht="12" customHeight="1">
      <c r="C219" s="206"/>
    </row>
    <row r="220" ht="12" customHeight="1">
      <c r="C220" s="206"/>
    </row>
    <row r="221" ht="12" customHeight="1">
      <c r="C221" s="206"/>
    </row>
    <row r="222" ht="12" customHeight="1">
      <c r="C222" s="206"/>
    </row>
    <row r="223" ht="12" customHeight="1">
      <c r="C223" s="206"/>
    </row>
    <row r="224" ht="12" customHeight="1">
      <c r="C224" s="206"/>
    </row>
    <row r="225" ht="12" customHeight="1">
      <c r="C225" s="206"/>
    </row>
    <row r="226" ht="12" customHeight="1">
      <c r="C226" s="206"/>
    </row>
    <row r="227" ht="12" customHeight="1">
      <c r="C227" s="206"/>
    </row>
    <row r="228" ht="12" customHeight="1">
      <c r="C228" s="206"/>
    </row>
    <row r="229" ht="12" customHeight="1">
      <c r="C229" s="206"/>
    </row>
    <row r="230" ht="12" customHeight="1">
      <c r="C230" s="206"/>
    </row>
    <row r="231" ht="12" customHeight="1">
      <c r="C231" s="206"/>
    </row>
    <row r="232" ht="12" customHeight="1">
      <c r="C232" s="206"/>
    </row>
    <row r="233" ht="12" customHeight="1">
      <c r="C233" s="206"/>
    </row>
    <row r="234" ht="12" customHeight="1">
      <c r="C234" s="206"/>
    </row>
    <row r="235" ht="12" customHeight="1">
      <c r="C235" s="206"/>
    </row>
    <row r="236" ht="12" customHeight="1">
      <c r="C236" s="206"/>
    </row>
    <row r="237" ht="12" customHeight="1">
      <c r="C237" s="206"/>
    </row>
    <row r="238" ht="12" customHeight="1">
      <c r="C238" s="206"/>
    </row>
    <row r="239" ht="12" customHeight="1">
      <c r="C239" s="206"/>
    </row>
    <row r="240" ht="12" customHeight="1">
      <c r="C240" s="206"/>
    </row>
    <row r="241" ht="12" customHeight="1">
      <c r="C241" s="206"/>
    </row>
    <row r="242" ht="12" customHeight="1">
      <c r="C242" s="206"/>
    </row>
    <row r="243" ht="12" customHeight="1">
      <c r="C243" s="206"/>
    </row>
    <row r="244" ht="12" customHeight="1">
      <c r="C244" s="206"/>
    </row>
    <row r="245" ht="12" customHeight="1">
      <c r="C245" s="206"/>
    </row>
    <row r="246" ht="12" customHeight="1">
      <c r="C246" s="206"/>
    </row>
    <row r="247" ht="12" customHeight="1">
      <c r="C247" s="206"/>
    </row>
    <row r="248" ht="12" customHeight="1">
      <c r="C248" s="206"/>
    </row>
    <row r="249" ht="12" customHeight="1">
      <c r="C249" s="206"/>
    </row>
    <row r="250" ht="12" customHeight="1">
      <c r="C250" s="206"/>
    </row>
    <row r="251" ht="12" customHeight="1">
      <c r="C251" s="206"/>
    </row>
    <row r="252" ht="12" customHeight="1">
      <c r="C252" s="206"/>
    </row>
    <row r="253" ht="12" customHeight="1">
      <c r="C253" s="206"/>
    </row>
    <row r="254" ht="12" customHeight="1">
      <c r="C254" s="206"/>
    </row>
    <row r="255" ht="12" customHeight="1">
      <c r="C255" s="206"/>
    </row>
    <row r="256" ht="12" customHeight="1">
      <c r="C256" s="206"/>
    </row>
    <row r="257" ht="12" customHeight="1">
      <c r="C257" s="206"/>
    </row>
  </sheetData>
  <sheetProtection/>
  <printOptions/>
  <pageMargins left="0.7874015748031497" right="0.3937007874015748"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3.xml><?xml version="1.0" encoding="utf-8"?>
<worksheet xmlns="http://schemas.openxmlformats.org/spreadsheetml/2006/main" xmlns:r="http://schemas.openxmlformats.org/officeDocument/2006/relationships">
  <sheetPr>
    <tabColor indexed="15"/>
  </sheetPr>
  <dimension ref="B1:AP328"/>
  <sheetViews>
    <sheetView zoomScalePageLayoutView="0" workbookViewId="0" topLeftCell="A1">
      <pane ySplit="1" topLeftCell="A2" activePane="bottomLeft" state="frozen"/>
      <selection pane="topLeft" activeCell="A1" sqref="A1"/>
      <selection pane="bottomLeft" activeCell="A1" sqref="A1"/>
    </sheetView>
  </sheetViews>
  <sheetFormatPr defaultColWidth="2.75390625" defaultRowHeight="12.75"/>
  <cols>
    <col min="1" max="2" width="2.75390625" style="1" customWidth="1"/>
    <col min="3" max="3" width="5.625" style="1" customWidth="1"/>
    <col min="4" max="4" width="40.375" style="1" customWidth="1"/>
    <col min="5" max="5" width="16.00390625" style="1" customWidth="1"/>
    <col min="6" max="16" width="2.75390625" style="1" customWidth="1"/>
    <col min="17" max="18" width="10.75390625" style="1" customWidth="1"/>
    <col min="19" max="19" width="21.25390625" style="1" customWidth="1"/>
    <col min="20" max="22" width="10.75390625" style="1" customWidth="1"/>
    <col min="23" max="24" width="2.75390625" style="1" customWidth="1"/>
    <col min="25" max="28" width="2.75390625" style="234" customWidth="1"/>
    <col min="29" max="45" width="2.75390625" style="210" customWidth="1"/>
    <col min="46" max="53" width="2.75390625" style="209" customWidth="1"/>
    <col min="54" max="16384" width="2.75390625" style="1" customWidth="1"/>
  </cols>
  <sheetData>
    <row r="1" spans="2:24" ht="19.5" customHeight="1" thickBot="1">
      <c r="B1" s="445" t="s">
        <v>177</v>
      </c>
      <c r="C1" s="445"/>
      <c r="D1" s="445"/>
      <c r="E1" s="445"/>
      <c r="F1" s="445"/>
      <c r="G1" s="445"/>
      <c r="H1" s="445"/>
      <c r="I1" s="445"/>
      <c r="J1" s="445"/>
      <c r="K1" s="445"/>
      <c r="L1" s="445"/>
      <c r="M1" s="445"/>
      <c r="N1" s="445"/>
      <c r="O1" s="445"/>
      <c r="P1" s="445"/>
      <c r="Q1" s="445"/>
      <c r="R1" s="445"/>
      <c r="S1" s="445"/>
      <c r="T1" s="445"/>
      <c r="U1" s="445"/>
      <c r="V1" s="445"/>
      <c r="W1" s="445"/>
      <c r="X1" s="445"/>
    </row>
    <row r="2" spans="2:34" ht="12" customHeight="1">
      <c r="B2" s="3"/>
      <c r="C2" s="4"/>
      <c r="D2" s="5"/>
      <c r="E2" s="4"/>
      <c r="F2" s="6"/>
      <c r="H2" s="3"/>
      <c r="I2" s="4"/>
      <c r="J2" s="4"/>
      <c r="K2" s="4"/>
      <c r="L2" s="4"/>
      <c r="M2" s="4"/>
      <c r="N2" s="4"/>
      <c r="O2" s="4"/>
      <c r="P2" s="4"/>
      <c r="Q2" s="4"/>
      <c r="R2" s="4"/>
      <c r="S2" s="4"/>
      <c r="T2" s="4"/>
      <c r="U2" s="4"/>
      <c r="V2" s="4"/>
      <c r="W2" s="4"/>
      <c r="X2" s="6"/>
      <c r="AH2" s="211"/>
    </row>
    <row r="3" spans="2:34" ht="12" customHeight="1">
      <c r="B3" s="7"/>
      <c r="C3" s="8"/>
      <c r="D3" s="9"/>
      <c r="E3" s="8"/>
      <c r="F3" s="10"/>
      <c r="H3" s="7"/>
      <c r="I3" s="447" t="s">
        <v>44</v>
      </c>
      <c r="J3" s="447"/>
      <c r="K3" s="447"/>
      <c r="L3" s="447"/>
      <c r="M3" s="447"/>
      <c r="N3" s="447"/>
      <c r="O3" s="447"/>
      <c r="P3" s="447"/>
      <c r="Q3" s="447"/>
      <c r="R3" s="447"/>
      <c r="S3" s="447"/>
      <c r="T3" s="447"/>
      <c r="U3" s="447"/>
      <c r="V3" s="447"/>
      <c r="W3" s="447"/>
      <c r="X3" s="10"/>
      <c r="AH3" s="211"/>
    </row>
    <row r="4" spans="2:34" ht="12" customHeight="1">
      <c r="B4" s="7"/>
      <c r="C4" s="8"/>
      <c r="D4" s="9"/>
      <c r="E4" s="8"/>
      <c r="F4" s="10"/>
      <c r="H4" s="7"/>
      <c r="I4" s="27"/>
      <c r="J4" s="27"/>
      <c r="K4" s="27"/>
      <c r="L4" s="27"/>
      <c r="M4" s="27"/>
      <c r="N4" s="27"/>
      <c r="O4" s="27"/>
      <c r="P4" s="27"/>
      <c r="Q4" s="27"/>
      <c r="R4" s="27"/>
      <c r="S4" s="27"/>
      <c r="T4" s="27"/>
      <c r="U4" s="27"/>
      <c r="V4" s="27"/>
      <c r="W4" s="27"/>
      <c r="X4" s="10"/>
      <c r="AH4" s="211"/>
    </row>
    <row r="5" spans="2:34" ht="12" customHeight="1">
      <c r="B5" s="7"/>
      <c r="C5" s="446" t="s">
        <v>5</v>
      </c>
      <c r="D5" s="446"/>
      <c r="E5" s="446"/>
      <c r="F5" s="11"/>
      <c r="G5" s="12"/>
      <c r="H5" s="26"/>
      <c r="I5" s="28"/>
      <c r="J5" s="27"/>
      <c r="K5" s="27"/>
      <c r="L5" s="27"/>
      <c r="M5" s="27"/>
      <c r="N5" s="27"/>
      <c r="O5" s="27"/>
      <c r="P5" s="27"/>
      <c r="Q5" s="27"/>
      <c r="R5" s="27"/>
      <c r="S5" s="27"/>
      <c r="T5" s="27"/>
      <c r="U5" s="27"/>
      <c r="V5" s="27"/>
      <c r="W5" s="27"/>
      <c r="X5" s="10"/>
      <c r="AH5" s="212" t="s">
        <v>12</v>
      </c>
    </row>
    <row r="6" spans="2:34" ht="12" customHeight="1">
      <c r="B6" s="7"/>
      <c r="C6" s="13"/>
      <c r="D6" s="14"/>
      <c r="E6" s="13"/>
      <c r="F6" s="11"/>
      <c r="G6" s="12"/>
      <c r="H6" s="26"/>
      <c r="I6" s="27" t="s">
        <v>10</v>
      </c>
      <c r="J6" s="27"/>
      <c r="K6" s="27"/>
      <c r="L6" s="27"/>
      <c r="M6" s="448" t="s">
        <v>297</v>
      </c>
      <c r="N6" s="448"/>
      <c r="O6" s="448"/>
      <c r="P6" s="448"/>
      <c r="Q6" s="448"/>
      <c r="R6" s="448"/>
      <c r="S6" s="448"/>
      <c r="T6" s="448"/>
      <c r="U6" s="448"/>
      <c r="V6" s="448"/>
      <c r="W6" s="27"/>
      <c r="X6" s="10"/>
      <c r="Z6" s="235">
        <f>VLOOKUP(Q10,'Вид нетрудоспособ.'!$B$2:$E$14,4,0)</f>
        <v>1</v>
      </c>
      <c r="AH6" s="212" t="s">
        <v>29</v>
      </c>
    </row>
    <row r="7" spans="2:34" ht="12" customHeight="1">
      <c r="B7" s="7"/>
      <c r="C7" s="15" t="s">
        <v>6</v>
      </c>
      <c r="D7" s="16" t="s">
        <v>7</v>
      </c>
      <c r="E7" s="16" t="s">
        <v>9</v>
      </c>
      <c r="F7" s="10"/>
      <c r="H7" s="7"/>
      <c r="I7" s="27"/>
      <c r="J7" s="27"/>
      <c r="K7" s="27"/>
      <c r="L7" s="27"/>
      <c r="M7" s="27"/>
      <c r="N7" s="27"/>
      <c r="O7" s="27"/>
      <c r="P7" s="27"/>
      <c r="Q7" s="27"/>
      <c r="R7" s="27"/>
      <c r="S7" s="27"/>
      <c r="T7" s="27"/>
      <c r="U7" s="27"/>
      <c r="V7" s="27"/>
      <c r="W7" s="27"/>
      <c r="X7" s="10"/>
      <c r="Z7" s="234">
        <f>VLOOKUP($O$16,'Вид нетрудоспособ.'!$B$19:$D$22,3,0)</f>
        <v>24.09</v>
      </c>
      <c r="AH7" s="212" t="s">
        <v>31</v>
      </c>
    </row>
    <row r="8" spans="2:34" ht="12" customHeight="1">
      <c r="B8" s="7"/>
      <c r="C8" s="17">
        <v>1</v>
      </c>
      <c r="D8" s="18" t="s">
        <v>171</v>
      </c>
      <c r="E8" s="19">
        <v>123</v>
      </c>
      <c r="F8" s="10"/>
      <c r="H8" s="7"/>
      <c r="I8" s="27" t="s">
        <v>9</v>
      </c>
      <c r="J8" s="27"/>
      <c r="K8" s="27"/>
      <c r="L8" s="27"/>
      <c r="M8" s="27"/>
      <c r="N8" s="27"/>
      <c r="O8" s="449">
        <f>IF(M6="","",VLOOKUP(M6,D7:E309,2,0))</f>
        <v>48</v>
      </c>
      <c r="P8" s="449"/>
      <c r="Q8" s="449"/>
      <c r="R8" s="172"/>
      <c r="S8" s="172"/>
      <c r="T8" s="172"/>
      <c r="U8" s="27"/>
      <c r="V8" s="27"/>
      <c r="W8" s="27"/>
      <c r="X8" s="10"/>
      <c r="Z8" s="234">
        <f>VLOOKUP($O$16,'Вид нетрудоспособ.'!B19:C22,2,0)</f>
        <v>2</v>
      </c>
      <c r="AH8" s="212" t="s">
        <v>32</v>
      </c>
    </row>
    <row r="9" spans="2:34" ht="12" customHeight="1">
      <c r="B9" s="7"/>
      <c r="C9" s="17">
        <v>2</v>
      </c>
      <c r="D9" s="18" t="s">
        <v>172</v>
      </c>
      <c r="E9" s="19">
        <v>145</v>
      </c>
      <c r="F9" s="10"/>
      <c r="H9" s="7"/>
      <c r="I9" s="27"/>
      <c r="J9" s="27"/>
      <c r="K9" s="27"/>
      <c r="L9" s="27"/>
      <c r="M9" s="27"/>
      <c r="N9" s="27"/>
      <c r="O9" s="27"/>
      <c r="P9" s="27"/>
      <c r="Q9" s="27"/>
      <c r="R9" s="27"/>
      <c r="S9" s="27"/>
      <c r="T9" s="27"/>
      <c r="U9" s="27"/>
      <c r="V9" s="27"/>
      <c r="W9" s="27"/>
      <c r="X9" s="10"/>
      <c r="AH9" s="212" t="s">
        <v>33</v>
      </c>
    </row>
    <row r="10" spans="2:34" ht="12" customHeight="1">
      <c r="B10" s="7"/>
      <c r="C10" s="17">
        <v>3</v>
      </c>
      <c r="D10" s="18" t="s">
        <v>297</v>
      </c>
      <c r="E10" s="19">
        <v>48</v>
      </c>
      <c r="F10" s="10"/>
      <c r="H10" s="7"/>
      <c r="I10" s="27" t="s">
        <v>11</v>
      </c>
      <c r="J10" s="27"/>
      <c r="K10" s="27"/>
      <c r="L10" s="27"/>
      <c r="M10" s="27"/>
      <c r="N10" s="27"/>
      <c r="O10" s="27"/>
      <c r="P10" s="27"/>
      <c r="Q10" s="448" t="s">
        <v>12</v>
      </c>
      <c r="R10" s="448"/>
      <c r="S10" s="448"/>
      <c r="T10" s="448"/>
      <c r="U10" s="448"/>
      <c r="V10" s="448"/>
      <c r="W10" s="27"/>
      <c r="X10" s="10"/>
      <c r="AH10" s="213" t="s">
        <v>34</v>
      </c>
    </row>
    <row r="11" spans="2:34" ht="12" customHeight="1">
      <c r="B11" s="7"/>
      <c r="C11" s="17">
        <v>4</v>
      </c>
      <c r="D11" s="18"/>
      <c r="E11" s="19"/>
      <c r="F11" s="10"/>
      <c r="H11" s="7"/>
      <c r="I11" s="27"/>
      <c r="J11" s="27"/>
      <c r="K11" s="27"/>
      <c r="L11" s="27"/>
      <c r="M11" s="27"/>
      <c r="N11" s="27"/>
      <c r="O11" s="27"/>
      <c r="P11" s="27"/>
      <c r="Q11" s="27"/>
      <c r="R11" s="27"/>
      <c r="S11" s="27"/>
      <c r="T11" s="27"/>
      <c r="U11" s="27"/>
      <c r="V11" s="27"/>
      <c r="W11" s="27"/>
      <c r="X11" s="10"/>
      <c r="AH11" s="213" t="s">
        <v>35</v>
      </c>
    </row>
    <row r="12" spans="2:34" ht="12" customHeight="1">
      <c r="B12" s="7"/>
      <c r="C12" s="17">
        <v>5</v>
      </c>
      <c r="D12" s="18"/>
      <c r="E12" s="19"/>
      <c r="F12" s="10"/>
      <c r="H12" s="7"/>
      <c r="I12" s="450" t="s">
        <v>15</v>
      </c>
      <c r="J12" s="450"/>
      <c r="K12" s="450"/>
      <c r="L12" s="450"/>
      <c r="M12" s="451" t="s">
        <v>18</v>
      </c>
      <c r="N12" s="451"/>
      <c r="O12" s="451"/>
      <c r="P12" s="27"/>
      <c r="Q12" s="27"/>
      <c r="R12" s="8"/>
      <c r="S12" s="8"/>
      <c r="T12" s="8"/>
      <c r="U12" s="8"/>
      <c r="V12" s="27"/>
      <c r="W12" s="27"/>
      <c r="X12" s="10"/>
      <c r="AH12" s="212" t="s">
        <v>36</v>
      </c>
    </row>
    <row r="13" spans="2:34" ht="12" customHeight="1">
      <c r="B13" s="7"/>
      <c r="C13" s="17">
        <v>6</v>
      </c>
      <c r="D13" s="18"/>
      <c r="E13" s="19"/>
      <c r="F13" s="10"/>
      <c r="H13" s="7"/>
      <c r="I13" s="27"/>
      <c r="J13" s="27"/>
      <c r="K13" s="27"/>
      <c r="L13" s="27"/>
      <c r="M13" s="27"/>
      <c r="N13" s="27"/>
      <c r="O13" s="27"/>
      <c r="P13" s="27"/>
      <c r="Q13" s="27"/>
      <c r="R13" s="27"/>
      <c r="S13" s="27"/>
      <c r="T13" s="27"/>
      <c r="U13" s="27"/>
      <c r="V13" s="27"/>
      <c r="W13" s="27"/>
      <c r="X13" s="10"/>
      <c r="AH13" s="213" t="s">
        <v>37</v>
      </c>
    </row>
    <row r="14" spans="2:34" ht="12" customHeight="1">
      <c r="B14" s="7"/>
      <c r="C14" s="17">
        <v>7</v>
      </c>
      <c r="D14" s="18"/>
      <c r="E14" s="19"/>
      <c r="F14" s="10"/>
      <c r="H14" s="7"/>
      <c r="I14" s="450" t="s">
        <v>17</v>
      </c>
      <c r="J14" s="450"/>
      <c r="K14" s="450"/>
      <c r="L14" s="451" t="s">
        <v>18</v>
      </c>
      <c r="M14" s="451"/>
      <c r="N14" s="451"/>
      <c r="O14" s="27"/>
      <c r="P14" s="27"/>
      <c r="Q14" s="27"/>
      <c r="R14" s="27"/>
      <c r="S14" s="27"/>
      <c r="T14" s="27"/>
      <c r="U14" s="27"/>
      <c r="V14" s="27"/>
      <c r="W14" s="27"/>
      <c r="X14" s="10"/>
      <c r="AH14" s="213" t="s">
        <v>38</v>
      </c>
    </row>
    <row r="15" spans="2:34" ht="12" customHeight="1">
      <c r="B15" s="7"/>
      <c r="C15" s="17">
        <v>8</v>
      </c>
      <c r="D15" s="18"/>
      <c r="E15" s="19"/>
      <c r="F15" s="10"/>
      <c r="H15" s="7"/>
      <c r="I15" s="27"/>
      <c r="J15" s="27"/>
      <c r="K15" s="27"/>
      <c r="L15" s="27"/>
      <c r="M15" s="27"/>
      <c r="N15" s="27"/>
      <c r="O15" s="27"/>
      <c r="P15" s="27"/>
      <c r="Q15" s="27"/>
      <c r="R15" s="27"/>
      <c r="S15" s="27"/>
      <c r="T15" s="27"/>
      <c r="U15" s="27"/>
      <c r="V15" s="27"/>
      <c r="W15" s="27"/>
      <c r="X15" s="10"/>
      <c r="AH15" s="213" t="s">
        <v>39</v>
      </c>
    </row>
    <row r="16" spans="2:34" ht="12" customHeight="1">
      <c r="B16" s="7"/>
      <c r="C16" s="17">
        <v>9</v>
      </c>
      <c r="D16" s="18"/>
      <c r="E16" s="19"/>
      <c r="F16" s="10"/>
      <c r="H16" s="7"/>
      <c r="I16" s="27" t="s">
        <v>13</v>
      </c>
      <c r="J16" s="27"/>
      <c r="K16" s="27"/>
      <c r="L16" s="27"/>
      <c r="M16" s="27"/>
      <c r="N16" s="27"/>
      <c r="O16" s="448" t="s">
        <v>41</v>
      </c>
      <c r="P16" s="448"/>
      <c r="Q16" s="448"/>
      <c r="R16" s="448"/>
      <c r="S16" s="448"/>
      <c r="T16" s="448"/>
      <c r="U16" s="448"/>
      <c r="V16" s="448"/>
      <c r="W16" s="27"/>
      <c r="X16" s="10"/>
      <c r="AH16" s="214" t="s">
        <v>40</v>
      </c>
    </row>
    <row r="17" spans="2:34" ht="12" customHeight="1">
      <c r="B17" s="7"/>
      <c r="C17" s="17">
        <v>10</v>
      </c>
      <c r="D17" s="18"/>
      <c r="E17" s="19"/>
      <c r="F17" s="10"/>
      <c r="H17" s="7"/>
      <c r="I17" s="27"/>
      <c r="J17" s="27"/>
      <c r="K17" s="27"/>
      <c r="L17" s="27"/>
      <c r="M17" s="27"/>
      <c r="N17" s="27"/>
      <c r="O17" s="27"/>
      <c r="P17" s="27"/>
      <c r="Q17" s="27"/>
      <c r="R17" s="27"/>
      <c r="S17" s="27"/>
      <c r="T17" s="27"/>
      <c r="U17" s="27"/>
      <c r="V17" s="27"/>
      <c r="W17" s="27"/>
      <c r="X17" s="10"/>
      <c r="AH17" s="215"/>
    </row>
    <row r="18" spans="2:34" ht="12" customHeight="1">
      <c r="B18" s="7"/>
      <c r="C18" s="17">
        <v>11</v>
      </c>
      <c r="D18" s="18"/>
      <c r="E18" s="19"/>
      <c r="F18" s="10"/>
      <c r="H18" s="7"/>
      <c r="I18" s="452">
        <f>IF(Z8=3,"Укажите размер тарифной ставки (оклада) (без надбавок и повышений) в ячейку снизу ",IF(Z8=1,"Укажите размер среднедневного заработка в ячейку снизу",0))</f>
        <v>0</v>
      </c>
      <c r="J18" s="452"/>
      <c r="K18" s="452"/>
      <c r="L18" s="452"/>
      <c r="M18" s="452"/>
      <c r="N18" s="452"/>
      <c r="O18" s="452"/>
      <c r="P18" s="452"/>
      <c r="Q18" s="452"/>
      <c r="R18" s="452"/>
      <c r="S18" s="452"/>
      <c r="T18" s="452"/>
      <c r="U18" s="452"/>
      <c r="V18" s="452"/>
      <c r="W18" s="27"/>
      <c r="X18" s="10"/>
      <c r="AH18" s="215"/>
    </row>
    <row r="19" spans="2:34" ht="12" customHeight="1">
      <c r="B19" s="7"/>
      <c r="C19" s="17">
        <v>12</v>
      </c>
      <c r="D19" s="18"/>
      <c r="E19" s="19"/>
      <c r="F19" s="10"/>
      <c r="H19" s="7"/>
      <c r="I19" s="27"/>
      <c r="J19" s="27"/>
      <c r="K19" s="27"/>
      <c r="L19" s="27"/>
      <c r="M19" s="27"/>
      <c r="N19" s="27"/>
      <c r="O19" s="27"/>
      <c r="P19" s="27"/>
      <c r="Q19" s="27"/>
      <c r="R19" s="27"/>
      <c r="S19" s="27"/>
      <c r="T19" s="27"/>
      <c r="U19" s="27"/>
      <c r="V19" s="27"/>
      <c r="W19" s="27"/>
      <c r="X19" s="10"/>
      <c r="AH19" s="215"/>
    </row>
    <row r="20" spans="2:34" ht="12" customHeight="1">
      <c r="B20" s="7"/>
      <c r="C20" s="17">
        <v>13</v>
      </c>
      <c r="D20" s="18"/>
      <c r="E20" s="19"/>
      <c r="F20" s="10"/>
      <c r="H20" s="7"/>
      <c r="I20" s="453">
        <f>'Пособие по временной нетрудосп.'!J100</f>
        <v>24.09</v>
      </c>
      <c r="J20" s="454"/>
      <c r="K20" s="454"/>
      <c r="L20" s="454"/>
      <c r="M20" s="454"/>
      <c r="N20" s="454"/>
      <c r="O20" s="454"/>
      <c r="P20" s="455"/>
      <c r="Q20" s="27"/>
      <c r="R20" s="27"/>
      <c r="S20" s="27"/>
      <c r="T20" s="27"/>
      <c r="U20" s="27"/>
      <c r="V20" s="27"/>
      <c r="W20" s="27"/>
      <c r="X20" s="10"/>
      <c r="AH20" s="215"/>
    </row>
    <row r="21" spans="2:34" ht="12" customHeight="1">
      <c r="B21" s="7"/>
      <c r="C21" s="17">
        <v>14</v>
      </c>
      <c r="D21" s="18"/>
      <c r="E21" s="19"/>
      <c r="F21" s="10"/>
      <c r="H21" s="7"/>
      <c r="I21" s="27"/>
      <c r="J21" s="27"/>
      <c r="K21" s="27"/>
      <c r="L21" s="27"/>
      <c r="M21" s="27"/>
      <c r="N21" s="27"/>
      <c r="O21" s="27"/>
      <c r="P21" s="27"/>
      <c r="Q21" s="27"/>
      <c r="R21" s="27"/>
      <c r="S21" s="27"/>
      <c r="T21" s="27"/>
      <c r="U21" s="27"/>
      <c r="V21" s="27"/>
      <c r="W21" s="27"/>
      <c r="X21" s="10"/>
      <c r="AH21" s="215"/>
    </row>
    <row r="22" spans="2:34" ht="12" customHeight="1">
      <c r="B22" s="7"/>
      <c r="C22" s="17">
        <v>15</v>
      </c>
      <c r="D22" s="18"/>
      <c r="E22" s="19"/>
      <c r="F22" s="10"/>
      <c r="H22" s="7"/>
      <c r="I22" s="27" t="s">
        <v>19</v>
      </c>
      <c r="J22" s="27"/>
      <c r="K22" s="27"/>
      <c r="L22" s="27"/>
      <c r="M22" s="27"/>
      <c r="N22" s="27"/>
      <c r="O22" s="27"/>
      <c r="P22" s="27"/>
      <c r="Q22" s="27"/>
      <c r="R22" s="27"/>
      <c r="S22" s="27"/>
      <c r="T22" s="27"/>
      <c r="U22" s="29" t="s">
        <v>18</v>
      </c>
      <c r="V22" s="27"/>
      <c r="W22" s="27"/>
      <c r="X22" s="10"/>
      <c r="AH22" s="216"/>
    </row>
    <row r="23" spans="2:34" ht="12" customHeight="1">
      <c r="B23" s="7"/>
      <c r="C23" s="17">
        <v>16</v>
      </c>
      <c r="D23" s="18"/>
      <c r="E23" s="19"/>
      <c r="F23" s="10"/>
      <c r="H23" s="7"/>
      <c r="I23" s="27"/>
      <c r="J23" s="27"/>
      <c r="K23" s="27"/>
      <c r="L23" s="27"/>
      <c r="M23" s="27"/>
      <c r="N23" s="27"/>
      <c r="O23" s="27"/>
      <c r="P23" s="27"/>
      <c r="Q23" s="27"/>
      <c r="R23" s="27"/>
      <c r="S23" s="27"/>
      <c r="T23" s="27"/>
      <c r="U23" s="27"/>
      <c r="V23" s="27"/>
      <c r="W23" s="27"/>
      <c r="X23" s="10"/>
      <c r="AH23" s="216"/>
    </row>
    <row r="24" spans="2:34" ht="12" customHeight="1">
      <c r="B24" s="7"/>
      <c r="C24" s="17">
        <v>17</v>
      </c>
      <c r="D24" s="18"/>
      <c r="E24" s="19"/>
      <c r="F24" s="10"/>
      <c r="H24" s="7"/>
      <c r="I24" s="450" t="str">
        <f>IF(U22="нет","Период нетрудоспособности","Первый период нетрудоспособности")</f>
        <v>Период нетрудоспособности</v>
      </c>
      <c r="J24" s="450"/>
      <c r="K24" s="450"/>
      <c r="L24" s="450"/>
      <c r="M24" s="450"/>
      <c r="N24" s="450"/>
      <c r="O24" s="450"/>
      <c r="P24" s="450"/>
      <c r="Q24" s="450"/>
      <c r="R24" s="450"/>
      <c r="S24" s="450"/>
      <c r="T24" s="30">
        <v>44264</v>
      </c>
      <c r="U24" s="27"/>
      <c r="V24" s="30">
        <v>44270</v>
      </c>
      <c r="W24" s="27"/>
      <c r="X24" s="10"/>
      <c r="AH24" s="216"/>
    </row>
    <row r="25" spans="2:34" ht="12" customHeight="1">
      <c r="B25" s="7"/>
      <c r="C25" s="17">
        <v>18</v>
      </c>
      <c r="D25" s="18"/>
      <c r="E25" s="19"/>
      <c r="F25" s="10"/>
      <c r="H25" s="7"/>
      <c r="I25" s="27"/>
      <c r="J25" s="27"/>
      <c r="K25" s="27"/>
      <c r="L25" s="27"/>
      <c r="M25" s="27"/>
      <c r="N25" s="27"/>
      <c r="O25" s="27"/>
      <c r="P25" s="27"/>
      <c r="Q25" s="27"/>
      <c r="R25" s="27"/>
      <c r="S25" s="27"/>
      <c r="T25" s="27"/>
      <c r="U25" s="27"/>
      <c r="V25" s="27"/>
      <c r="W25" s="27"/>
      <c r="X25" s="10"/>
      <c r="AH25" s="210" t="s">
        <v>14</v>
      </c>
    </row>
    <row r="26" spans="2:34" ht="12" customHeight="1">
      <c r="B26" s="7"/>
      <c r="C26" s="17">
        <v>19</v>
      </c>
      <c r="D26" s="18"/>
      <c r="E26" s="19"/>
      <c r="F26" s="10"/>
      <c r="H26" s="7"/>
      <c r="I26" s="450" t="s">
        <v>178</v>
      </c>
      <c r="J26" s="450"/>
      <c r="K26" s="450"/>
      <c r="L26" s="450"/>
      <c r="M26" s="450"/>
      <c r="N26" s="450"/>
      <c r="O26" s="450"/>
      <c r="P26" s="450"/>
      <c r="Q26" s="450"/>
      <c r="R26" s="27"/>
      <c r="S26" s="27"/>
      <c r="T26" s="30"/>
      <c r="U26" s="27"/>
      <c r="V26" s="173">
        <f>IF($U$22="да",T28-1,"")</f>
      </c>
      <c r="W26" s="27"/>
      <c r="X26" s="10"/>
      <c r="AH26" s="210" t="s">
        <v>41</v>
      </c>
    </row>
    <row r="27" spans="2:34" ht="12" customHeight="1">
      <c r="B27" s="7"/>
      <c r="C27" s="17">
        <v>20</v>
      </c>
      <c r="D27" s="18"/>
      <c r="E27" s="19"/>
      <c r="F27" s="10"/>
      <c r="H27" s="7"/>
      <c r="I27" s="27"/>
      <c r="J27" s="27"/>
      <c r="K27" s="27"/>
      <c r="L27" s="27"/>
      <c r="M27" s="27"/>
      <c r="N27" s="27"/>
      <c r="O27" s="27"/>
      <c r="P27" s="27"/>
      <c r="Q27" s="27"/>
      <c r="R27" s="27"/>
      <c r="S27" s="27"/>
      <c r="T27" s="27"/>
      <c r="U27" s="27"/>
      <c r="V27" s="27"/>
      <c r="W27" s="27"/>
      <c r="X27" s="10"/>
      <c r="AH27" s="210" t="s">
        <v>42</v>
      </c>
    </row>
    <row r="28" spans="2:34" ht="12" customHeight="1">
      <c r="B28" s="7"/>
      <c r="C28" s="17">
        <v>21</v>
      </c>
      <c r="D28" s="18"/>
      <c r="E28" s="19"/>
      <c r="F28" s="10"/>
      <c r="H28" s="7"/>
      <c r="I28" s="27">
        <f>IF(U22="да","Период нетрудоспособности","")</f>
      </c>
      <c r="J28" s="27"/>
      <c r="K28" s="27"/>
      <c r="L28" s="27"/>
      <c r="M28" s="27"/>
      <c r="N28" s="27"/>
      <c r="O28" s="27"/>
      <c r="P28" s="27"/>
      <c r="Q28" s="27"/>
      <c r="R28" s="27"/>
      <c r="S28" s="27"/>
      <c r="T28" s="31">
        <f>IF($U$22="да",$T$24,"")</f>
      </c>
      <c r="U28" s="27"/>
      <c r="V28" s="31">
        <f>IF($U$22="да",$V$24,"")</f>
      </c>
      <c r="W28" s="27"/>
      <c r="X28" s="10"/>
      <c r="AH28" s="210" t="s">
        <v>43</v>
      </c>
    </row>
    <row r="29" spans="2:34" ht="12" customHeight="1">
      <c r="B29" s="7"/>
      <c r="C29" s="17">
        <v>22</v>
      </c>
      <c r="D29" s="18"/>
      <c r="E29" s="19"/>
      <c r="F29" s="10"/>
      <c r="H29" s="7"/>
      <c r="I29" s="27"/>
      <c r="J29" s="27"/>
      <c r="K29" s="27"/>
      <c r="L29" s="27"/>
      <c r="M29" s="27"/>
      <c r="N29" s="27"/>
      <c r="O29" s="27"/>
      <c r="P29" s="27"/>
      <c r="Q29" s="27"/>
      <c r="R29" s="27"/>
      <c r="S29" s="27"/>
      <c r="T29" s="27"/>
      <c r="U29" s="27"/>
      <c r="V29" s="27"/>
      <c r="W29" s="27"/>
      <c r="X29" s="10"/>
      <c r="AH29" s="216"/>
    </row>
    <row r="30" spans="2:34" ht="12" customHeight="1">
      <c r="B30" s="7"/>
      <c r="C30" s="17">
        <v>23</v>
      </c>
      <c r="D30" s="18"/>
      <c r="E30" s="19"/>
      <c r="F30" s="10"/>
      <c r="H30" s="7"/>
      <c r="I30" s="27"/>
      <c r="J30" s="27"/>
      <c r="K30" s="27"/>
      <c r="L30" s="27"/>
      <c r="M30" s="27"/>
      <c r="N30" s="27"/>
      <c r="O30" s="27"/>
      <c r="P30" s="27"/>
      <c r="Q30" s="27"/>
      <c r="R30" s="27"/>
      <c r="S30" s="27"/>
      <c r="T30" s="27"/>
      <c r="U30" s="27"/>
      <c r="V30" s="27"/>
      <c r="W30" s="27"/>
      <c r="X30" s="10"/>
      <c r="AH30" s="216" t="s">
        <v>16</v>
      </c>
    </row>
    <row r="31" spans="2:34" ht="12" customHeight="1">
      <c r="B31" s="7"/>
      <c r="C31" s="17">
        <v>24</v>
      </c>
      <c r="D31" s="18"/>
      <c r="E31" s="19"/>
      <c r="F31" s="10"/>
      <c r="H31" s="7"/>
      <c r="I31" s="27"/>
      <c r="J31" s="27"/>
      <c r="K31" s="27"/>
      <c r="L31" s="27"/>
      <c r="M31" s="27"/>
      <c r="N31" s="27"/>
      <c r="O31" s="27"/>
      <c r="P31" s="27"/>
      <c r="Q31" s="27"/>
      <c r="R31" s="27"/>
      <c r="S31" s="27"/>
      <c r="T31" s="27"/>
      <c r="U31" s="27"/>
      <c r="V31" s="27"/>
      <c r="W31" s="27"/>
      <c r="X31" s="10"/>
      <c r="AH31" s="216" t="s">
        <v>18</v>
      </c>
    </row>
    <row r="32" spans="2:24" ht="12" customHeight="1">
      <c r="B32" s="7"/>
      <c r="C32" s="17">
        <v>25</v>
      </c>
      <c r="D32" s="18"/>
      <c r="E32" s="19"/>
      <c r="F32" s="10"/>
      <c r="H32" s="7"/>
      <c r="I32" s="27"/>
      <c r="J32" s="27"/>
      <c r="K32" s="27"/>
      <c r="L32" s="27"/>
      <c r="M32" s="27"/>
      <c r="N32" s="27"/>
      <c r="O32" s="27"/>
      <c r="P32" s="27"/>
      <c r="Q32" s="27"/>
      <c r="R32" s="27"/>
      <c r="S32" s="27"/>
      <c r="T32" s="27"/>
      <c r="U32" s="27"/>
      <c r="V32" s="27"/>
      <c r="W32" s="27"/>
      <c r="X32" s="10"/>
    </row>
    <row r="33" spans="2:24" ht="12" customHeight="1">
      <c r="B33" s="7"/>
      <c r="C33" s="17">
        <v>26</v>
      </c>
      <c r="D33" s="18"/>
      <c r="E33" s="19"/>
      <c r="F33" s="10"/>
      <c r="H33" s="7"/>
      <c r="I33" s="27"/>
      <c r="J33" s="27"/>
      <c r="K33" s="27"/>
      <c r="L33" s="27"/>
      <c r="M33" s="27"/>
      <c r="N33" s="27"/>
      <c r="O33" s="27"/>
      <c r="P33" s="27"/>
      <c r="Q33" s="27"/>
      <c r="R33" s="27"/>
      <c r="S33" s="27"/>
      <c r="T33" s="27"/>
      <c r="U33" s="27"/>
      <c r="V33" s="27"/>
      <c r="W33" s="27"/>
      <c r="X33" s="10"/>
    </row>
    <row r="34" spans="2:42" ht="12" customHeight="1">
      <c r="B34" s="7"/>
      <c r="C34" s="17">
        <v>27</v>
      </c>
      <c r="D34" s="18"/>
      <c r="E34" s="19"/>
      <c r="F34" s="10"/>
      <c r="H34" s="7"/>
      <c r="I34" s="27"/>
      <c r="J34" s="27"/>
      <c r="K34" s="27"/>
      <c r="L34" s="27"/>
      <c r="M34" s="27"/>
      <c r="N34" s="27"/>
      <c r="O34" s="27"/>
      <c r="P34" s="27"/>
      <c r="Q34" s="27"/>
      <c r="R34" s="27"/>
      <c r="S34" s="27"/>
      <c r="T34" s="27"/>
      <c r="U34" s="27"/>
      <c r="V34" s="27"/>
      <c r="W34" s="27"/>
      <c r="X34" s="10"/>
      <c r="AH34" s="217"/>
      <c r="AI34" s="217"/>
      <c r="AJ34" s="217"/>
      <c r="AK34" s="217"/>
      <c r="AL34" s="218" t="s">
        <v>20</v>
      </c>
      <c r="AM34" s="217"/>
      <c r="AN34" s="217"/>
      <c r="AO34" s="217"/>
      <c r="AP34" s="217"/>
    </row>
    <row r="35" spans="2:42" ht="12" customHeight="1" thickBot="1">
      <c r="B35" s="7"/>
      <c r="C35" s="17">
        <v>28</v>
      </c>
      <c r="D35" s="18"/>
      <c r="E35" s="19"/>
      <c r="F35" s="10"/>
      <c r="H35" s="22"/>
      <c r="I35" s="23"/>
      <c r="J35" s="23"/>
      <c r="K35" s="23"/>
      <c r="L35" s="23"/>
      <c r="M35" s="23"/>
      <c r="N35" s="23"/>
      <c r="O35" s="23"/>
      <c r="P35" s="23"/>
      <c r="Q35" s="23"/>
      <c r="R35" s="23"/>
      <c r="S35" s="23"/>
      <c r="T35" s="23"/>
      <c r="U35" s="23"/>
      <c r="V35" s="23"/>
      <c r="W35" s="23"/>
      <c r="X35" s="25"/>
      <c r="AH35" s="219" t="s">
        <v>21</v>
      </c>
      <c r="AI35" s="220" t="s">
        <v>22</v>
      </c>
      <c r="AJ35" s="220" t="s">
        <v>15</v>
      </c>
      <c r="AK35" s="220" t="s">
        <v>17</v>
      </c>
      <c r="AL35" s="220" t="s">
        <v>23</v>
      </c>
      <c r="AM35" s="217"/>
      <c r="AN35" s="217"/>
      <c r="AO35" s="217"/>
      <c r="AP35" s="217"/>
    </row>
    <row r="36" spans="2:42" ht="12" customHeight="1">
      <c r="B36" s="7"/>
      <c r="C36" s="17">
        <v>29</v>
      </c>
      <c r="D36" s="18"/>
      <c r="E36" s="19"/>
      <c r="F36" s="10"/>
      <c r="AH36" s="221" t="s">
        <v>24</v>
      </c>
      <c r="AI36" s="217"/>
      <c r="AJ36" s="217"/>
      <c r="AK36" s="217"/>
      <c r="AL36" s="221"/>
      <c r="AM36" s="222">
        <f>календарь!$J$7</f>
        <v>7</v>
      </c>
      <c r="AN36" s="223">
        <f>AM36-6</f>
        <v>1</v>
      </c>
      <c r="AO36" s="217"/>
      <c r="AP36" s="217"/>
    </row>
    <row r="37" spans="2:42" ht="12" customHeight="1">
      <c r="B37" s="7"/>
      <c r="C37" s="17">
        <v>30</v>
      </c>
      <c r="D37" s="18"/>
      <c r="E37" s="19"/>
      <c r="F37" s="10"/>
      <c r="AH37" s="217">
        <f>IF(AND($M$12="нет",$L$14="нет"),IF(OR($Z$6=1,$Z$6=4,$Z$6=7,$Z$6=11,$Z$6=12),80,IF(OR($Z$6=2,$Z$6=3,$Z$6=5),40,0)),0)</f>
        <v>80</v>
      </c>
      <c r="AI37" s="217">
        <f>IF($L$14="нет",IF(OR($Z$6=6,$Z$6=8,$Z$6=9,$Z$6=10),100,0),0)</f>
        <v>0</v>
      </c>
      <c r="AJ37" s="217">
        <f>IF(AND($M$12="да",L14="нет"),IF(OR($Z$6=1,$Z$6=4,$Z$6=7,$Z$6=11,$Z$6=12),100,IF(OR($Z$6=2,$Z$6=3,$Z$6=5),50,0)),0)</f>
        <v>0</v>
      </c>
      <c r="AK37" s="217">
        <f>IF(AND($L$14="да",$M$12="да"),50,IF(AND($L$14="да",$M$12="нет"),IF(OR($Z$6=1,$Z$6=4,$Z$6=7,$Z$6=11,$Z$6=12,$Z$6=2,$Z$6=3,$Z$6=5),40,IF(OR($Z$6=6,$Z$6=8,$Z$6=9,$Z$6=10),50,0)),0))</f>
        <v>0</v>
      </c>
      <c r="AL37" s="224">
        <f>IF(OR($AJ$37&gt;0,$AK$37=50),MAX($AM$37:$AP$37)+MAX($AM$38:$AP$38),MAX($AM$37:$AP$37))</f>
        <v>7</v>
      </c>
      <c r="AM37" s="217">
        <f>IF(OR($Z$6=1,$Z$6=4,$Z$6=7,$Z$6=11,$Z$6=12),IF(AM36&lt;12,AM36,12),0)</f>
        <v>7</v>
      </c>
      <c r="AN37" s="217">
        <f>IF(OR($Z$6=2,$Z$6=3,$Z$6=5),IF(AN36&lt;=0,0,IF(AND(AN36&gt;0,AN36&gt;6),6,AN36)),0)</f>
        <v>0</v>
      </c>
      <c r="AO37" s="217"/>
      <c r="AP37" s="217">
        <f>IF(OR($Z$6=6,$Z$6=8,$Z$6=9,$Z$6=10),AM36,0)</f>
        <v>0</v>
      </c>
    </row>
    <row r="38" spans="2:42" ht="12" customHeight="1">
      <c r="B38" s="7"/>
      <c r="C38" s="17">
        <v>31</v>
      </c>
      <c r="D38" s="18"/>
      <c r="E38" s="19"/>
      <c r="F38" s="10"/>
      <c r="AH38" s="217">
        <f>IF(AH37=80,100,IF(AH37=40,50,0))</f>
        <v>100</v>
      </c>
      <c r="AI38" s="217"/>
      <c r="AJ38" s="217"/>
      <c r="AK38" s="217">
        <f>IF(AK37=40,50,0)</f>
        <v>0</v>
      </c>
      <c r="AL38" s="224">
        <f>IF(OR($AJ$37&gt;0,$AK$37=50),0,MAX($AM$38:$AO$38))</f>
        <v>0</v>
      </c>
      <c r="AM38" s="217">
        <f>IF(OR($Z$6=1,$Z$6=4,$Z$6=7,$Z$6=11,$Z$6=12),IF(AM36-AM37&gt;0,AM36-AM37,0),0)</f>
        <v>0</v>
      </c>
      <c r="AN38" s="217">
        <f>IF(OR($Z$6=2,$Z$6=3,$Z$6=5),IF(AN36-AN37&lt;=0,0,AN36-AN37),0)</f>
        <v>0</v>
      </c>
      <c r="AO38" s="217"/>
      <c r="AP38" s="217"/>
    </row>
    <row r="39" spans="2:42" ht="12" customHeight="1">
      <c r="B39" s="7"/>
      <c r="C39" s="17">
        <v>32</v>
      </c>
      <c r="D39" s="18"/>
      <c r="E39" s="19"/>
      <c r="F39" s="10"/>
      <c r="AH39" s="221" t="s">
        <v>25</v>
      </c>
      <c r="AI39" s="217"/>
      <c r="AJ39" s="217"/>
      <c r="AK39" s="217"/>
      <c r="AL39" s="224"/>
      <c r="AM39" s="222">
        <f>календарь!$L$7</f>
        <v>0</v>
      </c>
      <c r="AN39" s="223">
        <f>IF(OR($Z$6=2,$Z$6=3,$Z$6=5),IF(AN36&lt;0,AM39+AN36,IF(AM36&gt;=6,AM39,0)),0)</f>
        <v>0</v>
      </c>
      <c r="AO39" s="217"/>
      <c r="AP39" s="217"/>
    </row>
    <row r="40" spans="2:42" ht="12" customHeight="1">
      <c r="B40" s="7"/>
      <c r="C40" s="17">
        <v>33</v>
      </c>
      <c r="D40" s="18"/>
      <c r="E40" s="19"/>
      <c r="F40" s="10"/>
      <c r="AH40" s="217">
        <f>IF(AND($M$12="нет",$L$14="нет"),IF(OR($Z$6=1,$Z$6=4,$Z$6=7,$Z$6=11,$Z$6=12),80,IF(OR($Z$6=2,$Z$6=3,$Z$6=5),40,0)),0)</f>
        <v>80</v>
      </c>
      <c r="AI40" s="217">
        <f>IF($L$14="нет",IF(OR($Z$6=6,$Z$6=8,$Z$6=9,$Z$6=10),100,0),0)</f>
        <v>0</v>
      </c>
      <c r="AJ40" s="217">
        <f>IF(AND($M$12="да",L14="нет"),IF(OR($Z$6=1,$Z$6=4,$Z$6=7,$Z$6=11,$Z$6=12),100,IF(OR($Z$6=2,$Z$6=3,$Z$6=5),50,0)),0)</f>
        <v>0</v>
      </c>
      <c r="AK40" s="217">
        <f>IF(AND($L$14="да",$M$12="да"),50,IF(AND($L$14="да",$M$12="нет"),IF(OR($Z$6=1,$Z$6=4,$Z$6=7,$Z$6=11,$Z$6=12,$Z$6=2,$Z$6=3,$Z$6=5),40,IF(OR($Z$6=6,$Z$6=8,$Z$6=9,$Z$6=10),50,0)),0))</f>
        <v>0</v>
      </c>
      <c r="AL40" s="224">
        <f>IF(OR($AJ$40&gt;0,$AK$40=50),MAX($AM$40:$AP$40)+MAX($AM$41:$AO$41),MAX($AM$40:$AP$40))</f>
        <v>0</v>
      </c>
      <c r="AM40" s="217">
        <f>IF(OR($Z$6=1,$Z$6=4,$Z$6=7,$Z$6=11,$Z$6=12),IF(AND(AL38=0,AL37&lt;12,AM39&gt;0),IF(AM39&gt;(12-AL37),12-AL37,IF(AM39&gt;(12-AL37),12-AL37,AM39)),0),0)</f>
        <v>0</v>
      </c>
      <c r="AN40" s="217">
        <f>IF(OR($Z$6=2,$Z$6=3,$Z$6=5),IF(AND(AL37=0,AL38=0),IF(AND(AN39&gt;0,AN39&lt;=6),AN39,IF(AND(AN39&gt;0,AN39&gt;6),6,0)),0),0)</f>
        <v>0</v>
      </c>
      <c r="AO40" s="217">
        <f>IF(OR($Z$6=2,$Z$6=3,$Z$6=5),IF(AND(AL37&gt;0,AL38=0),IF(AN39&gt;6-AL37,6-AL37,AN39),0),0)</f>
        <v>0</v>
      </c>
      <c r="AP40" s="217">
        <f>IF(OR($Z$6=6,$Z$6=8,$Z$6=9,$Z$6=10),AM39,0)</f>
        <v>0</v>
      </c>
    </row>
    <row r="41" spans="2:42" ht="12" customHeight="1">
      <c r="B41" s="7"/>
      <c r="C41" s="17">
        <v>34</v>
      </c>
      <c r="D41" s="18"/>
      <c r="E41" s="19"/>
      <c r="F41" s="10"/>
      <c r="AH41" s="217">
        <f>IF(AH40=80,100,IF(AH40=40,50,0))</f>
        <v>100</v>
      </c>
      <c r="AI41" s="217"/>
      <c r="AJ41" s="217"/>
      <c r="AK41" s="217">
        <f>IF(AK40=40,50,0)</f>
        <v>0</v>
      </c>
      <c r="AL41" s="224">
        <f>IF(OR(AJ40&gt;0,AK40=50),0,MAX(AM41:AP41))</f>
        <v>0</v>
      </c>
      <c r="AM41" s="217">
        <f>IF(OR($Z$6=1,$Z$6=4,$Z$6=7,$Z$6=11,$Z$6=12),IF(AM40&gt;=0,AM39-AM40,0),0)</f>
        <v>0</v>
      </c>
      <c r="AN41" s="217">
        <f>IF(OR($Z$6=2,$Z$6=3,$Z$6=5),IF(AN39&gt;0,AN39-(AN40+AO40),0),0)</f>
        <v>0</v>
      </c>
      <c r="AO41" s="223"/>
      <c r="AP41" s="217"/>
    </row>
    <row r="42" spans="2:42" ht="12" customHeight="1">
      <c r="B42" s="7"/>
      <c r="C42" s="17">
        <v>35</v>
      </c>
      <c r="D42" s="18"/>
      <c r="E42" s="19"/>
      <c r="F42" s="10"/>
      <c r="AH42" s="221" t="s">
        <v>26</v>
      </c>
      <c r="AI42" s="217"/>
      <c r="AJ42" s="217"/>
      <c r="AK42" s="217"/>
      <c r="AL42" s="224"/>
      <c r="AM42" s="222"/>
      <c r="AN42" s="217"/>
      <c r="AO42" s="217"/>
      <c r="AP42" s="217"/>
    </row>
    <row r="43" spans="2:42" ht="12" customHeight="1">
      <c r="B43" s="7"/>
      <c r="C43" s="17">
        <v>36</v>
      </c>
      <c r="D43" s="18"/>
      <c r="E43" s="19"/>
      <c r="F43" s="10"/>
      <c r="AH43" s="217">
        <f>IF(AND($M$12="нет",$L$14="нет"),IF(OR($Z$6=1,$Z$6=4,$Z$6=7,$Z$6=11,$Z$6=12),100,IF(OR($Z$6=2,$Z$6=3,$Z$6=5),50,0)),0)</f>
        <v>100</v>
      </c>
      <c r="AI43" s="217">
        <f>IF($L$14="нет",IF(OR($Z$6=6,$Z$6=8,$Z$6=9,$Z$6=10),100,0),0)</f>
        <v>0</v>
      </c>
      <c r="AJ43" s="217">
        <f>IF(AND($M$12="да",L14="нет"),IF(OR($Z$6=1,$Z$6=4,$Z$6=7,$Z$6=11,$Z$6=12),100,IF(OR($Z$6=2,$Z$6=3,$Z$6=5),50,0)),0)</f>
        <v>0</v>
      </c>
      <c r="AK43" s="217">
        <f>IF($L$14="да",50,0)</f>
        <v>0</v>
      </c>
      <c r="AL43" s="224">
        <f>AM43</f>
        <v>0</v>
      </c>
      <c r="AM43" s="223">
        <f>календарь!$N$7</f>
        <v>0</v>
      </c>
      <c r="AN43" s="217"/>
      <c r="AO43" s="217"/>
      <c r="AP43" s="217"/>
    </row>
    <row r="44" spans="2:42" ht="12" customHeight="1">
      <c r="B44" s="7"/>
      <c r="C44" s="17">
        <v>37</v>
      </c>
      <c r="D44" s="18"/>
      <c r="E44" s="19"/>
      <c r="F44" s="10"/>
      <c r="AH44" s="217"/>
      <c r="AI44" s="217"/>
      <c r="AJ44" s="217"/>
      <c r="AK44" s="217"/>
      <c r="AL44" s="217"/>
      <c r="AM44" s="217"/>
      <c r="AN44" s="217"/>
      <c r="AO44" s="217"/>
      <c r="AP44" s="217"/>
    </row>
    <row r="45" spans="2:42" ht="12" customHeight="1">
      <c r="B45" s="7"/>
      <c r="C45" s="17">
        <v>38</v>
      </c>
      <c r="D45" s="18"/>
      <c r="E45" s="19"/>
      <c r="F45" s="10"/>
      <c r="AH45" s="217"/>
      <c r="AI45" s="217"/>
      <c r="AJ45" s="217"/>
      <c r="AK45" s="217"/>
      <c r="AL45" s="218" t="s">
        <v>27</v>
      </c>
      <c r="AM45" s="217"/>
      <c r="AN45" s="217"/>
      <c r="AO45" s="217"/>
      <c r="AP45" s="217"/>
    </row>
    <row r="46" spans="2:42" ht="12" customHeight="1">
      <c r="B46" s="7"/>
      <c r="C46" s="17">
        <v>39</v>
      </c>
      <c r="D46" s="18"/>
      <c r="E46" s="19"/>
      <c r="F46" s="10"/>
      <c r="AH46" s="219" t="s">
        <v>21</v>
      </c>
      <c r="AI46" s="220" t="s">
        <v>22</v>
      </c>
      <c r="AJ46" s="220" t="s">
        <v>15</v>
      </c>
      <c r="AK46" s="220" t="s">
        <v>17</v>
      </c>
      <c r="AL46" s="220" t="s">
        <v>23</v>
      </c>
      <c r="AM46" s="217"/>
      <c r="AN46" s="217"/>
      <c r="AO46" s="217"/>
      <c r="AP46" s="217"/>
    </row>
    <row r="47" spans="2:42" ht="12" customHeight="1">
      <c r="B47" s="7"/>
      <c r="C47" s="17">
        <v>40</v>
      </c>
      <c r="D47" s="18"/>
      <c r="E47" s="19"/>
      <c r="F47" s="10"/>
      <c r="AH47" s="221" t="s">
        <v>24</v>
      </c>
      <c r="AI47" s="217"/>
      <c r="AJ47" s="217"/>
      <c r="AK47" s="217"/>
      <c r="AL47" s="221"/>
      <c r="AM47" s="222">
        <f>календарь!$J$12</f>
        <v>1</v>
      </c>
      <c r="AN47" s="223">
        <f>IF(AM36+AM39-6&lt;0,AM47+(AM36+AM39-6),AM47)</f>
        <v>1</v>
      </c>
      <c r="AO47" s="222"/>
      <c r="AP47" s="217"/>
    </row>
    <row r="48" spans="2:42" ht="12" customHeight="1">
      <c r="B48" s="7"/>
      <c r="C48" s="17">
        <v>41</v>
      </c>
      <c r="D48" s="18"/>
      <c r="E48" s="19"/>
      <c r="F48" s="10"/>
      <c r="AH48" s="217">
        <f>IF(AND($M$12="нет",$L$14="нет"),IF(OR($Z$6=1,$Z$6=4,$Z$6=7,$Z$6=11,$Z$6=12),80,IF(OR($Z$6=2,$Z$6=3,$Z$6=5),40,0)),0)</f>
        <v>80</v>
      </c>
      <c r="AI48" s="217">
        <f>IF($L$14="нет",IF(OR($Z$6=6,$Z$6=8,$Z$6=9,$Z$6=10),100,0),0)</f>
        <v>0</v>
      </c>
      <c r="AJ48" s="217">
        <f>IF(AND($M$12="да",L14="нет"),IF(OR($Z$6=1,$Z$6=4,$Z$6=7,$Z$6=11,$Z$6=12),100,IF(OR($Z$6=2,$Z$6=3,$Z$6=5),50,0)),0)</f>
        <v>0</v>
      </c>
      <c r="AK48" s="217">
        <f>IF(AND($L$14="да",$M$12="да"),50,IF(AND($L$14="да",$M$12="нет"),IF(OR($Z$6=1,$Z$6=4,$Z$6=7,$Z$6=11,$Z$6=12,$Z$6=2,$Z$6=3,$Z$6=5),40,IF(OR($Z$6=6,$Z$6=8,$Z$6=9,$Z$6=10),50,0)),0))</f>
        <v>0</v>
      </c>
      <c r="AL48" s="224">
        <f>IF(OR($AJ$48&gt;0,$AK$48=50),MAX($AM$48:$AP$48)+MAX($AM$49:$AO$49),MAX($AM$48:$AP$48))</f>
        <v>1</v>
      </c>
      <c r="AM48" s="217">
        <f>IF(OR($Z$6=1,$Z$6=4,$Z$6=7,$Z$6=11,$Z$6=12),IF(AND(AL37+AL40&lt;=12,AM47&gt;12-(AL37+AL40)),12-(AL37+AL40),AM47),0)</f>
        <v>1</v>
      </c>
      <c r="AN48" s="217">
        <f>IF(OR($Z$6=2,$Z$6=3,$Z$6=5),IF(AL37+AL40=6,0,IF(AND(AN47&gt;6,AL37+AL40&lt;6),6-(AL37+AL40),AN47)),0)</f>
        <v>0</v>
      </c>
      <c r="AO48" s="217"/>
      <c r="AP48" s="217">
        <f>IF(OR($Z$6=6,$Z$6=8,$Z$6=9,$Z$6=10),AM47,0)</f>
        <v>0</v>
      </c>
    </row>
    <row r="49" spans="2:42" ht="12" customHeight="1">
      <c r="B49" s="7"/>
      <c r="C49" s="17">
        <v>42</v>
      </c>
      <c r="D49" s="18"/>
      <c r="E49" s="19"/>
      <c r="F49" s="10"/>
      <c r="AH49" s="217">
        <f>IF(AH48=80,100,IF(AH48=40,50,0))</f>
        <v>100</v>
      </c>
      <c r="AI49" s="217"/>
      <c r="AJ49" s="217"/>
      <c r="AK49" s="217">
        <f>IF(AK48=40,50,0)</f>
        <v>0</v>
      </c>
      <c r="AL49" s="224">
        <f>IF(OR($AJ$48&gt;0,$AK$48=50),0,MAX($AM$49:$AO$49))</f>
        <v>0</v>
      </c>
      <c r="AM49" s="217">
        <f>IF(OR($Z$6=1,$Z$6=4,$Z$6=7,$Z$6=11,$Z$6=12),IF(AND(AM47&gt;=1,AM47-AM48&gt;0),AM47-AM48,0),0)</f>
        <v>0</v>
      </c>
      <c r="AN49" s="223">
        <f>IF(OR($Z$6=2,$Z$6=3,$Z$6=5),AN47-AN48,0)</f>
        <v>0</v>
      </c>
      <c r="AO49" s="217"/>
      <c r="AP49" s="217"/>
    </row>
    <row r="50" spans="2:42" ht="12" customHeight="1">
      <c r="B50" s="7"/>
      <c r="C50" s="17">
        <v>43</v>
      </c>
      <c r="D50" s="18"/>
      <c r="E50" s="19"/>
      <c r="F50" s="10"/>
      <c r="AH50" s="221" t="s">
        <v>25</v>
      </c>
      <c r="AI50" s="217"/>
      <c r="AJ50" s="217"/>
      <c r="AK50" s="217"/>
      <c r="AL50" s="224"/>
      <c r="AM50" s="222">
        <f>календарь!$L$12</f>
        <v>0</v>
      </c>
      <c r="AN50" s="223">
        <f>IF(OR($Z$6=2,$Z$6=3,$Z$6=5),IF((AM36+AM39+AM47+AM50)-(AL37+AL40+AL48)-6&lt;0,AM50+(AM36+AM39+AM47+AM50-AL37-AL40-AL48-6),AM36+AM39+AM47+AM50-AL37-AL40-AL48-6),0)</f>
        <v>0</v>
      </c>
      <c r="AO50" s="217"/>
      <c r="AP50" s="217"/>
    </row>
    <row r="51" spans="2:42" ht="12" customHeight="1">
      <c r="B51" s="7"/>
      <c r="C51" s="17">
        <v>44</v>
      </c>
      <c r="D51" s="18"/>
      <c r="E51" s="19"/>
      <c r="F51" s="10"/>
      <c r="AH51" s="217">
        <f>IF(AND($M$12="нет",$L$14="нет"),IF(OR($Z$6=1,$Z$6=4,$Z$6=7,$Z$6=11,$Z$6=12),80,IF(OR($Z$6=2,$Z$6=3,$Z$6=5),40,0)),0)</f>
        <v>80</v>
      </c>
      <c r="AI51" s="217">
        <f>IF($L$14="нет",IF(OR($Z$6=6,$Z$6=8,$Z$6=9,$Z$6=10),100,0),0)</f>
        <v>0</v>
      </c>
      <c r="AJ51" s="217">
        <f>IF(AND($M$12="да",L14="нет"),IF(OR($Z$6=1,$Z$6=4,$Z$6=7,$Z$6=11,$Z$6=12),100,IF(OR($Z$6=2,$Z$6=3,$Z$6=5),50,0)),0)</f>
        <v>0</v>
      </c>
      <c r="AK51" s="217">
        <f>IF(AND($L$14="да",$M$12="да"),50,IF(AND($L$14="да",$M$12="нет"),IF(OR($Z$6=1,$Z$6=4,$Z$6=7,$Z$6=11,$Z$6=12,$Z$6=2,$Z$6=3,$Z$6=5),40,IF(OR($Z$6=6,$Z$6=8,$Z$6=9,$Z$6=10),50,0)),0))</f>
        <v>0</v>
      </c>
      <c r="AL51" s="224">
        <f>IF(OR($AJ$51&gt;0,$AK$51=50),MAX($AM$51:$AP$51)+MAX($AM$52:$AO$52),MAX($AM$51:$AP$51))</f>
        <v>0</v>
      </c>
      <c r="AM51" s="217">
        <f>IF(OR($Z$6=1,$Z$6=4,$Z$6=7,$Z$6=11,$Z$6=12),IF(AND(AL37+AL40+AL48&lt;=12,AM50&gt;12-(AL40+AL37+AL48)),12-(AL40+AL37+AL48),0),0)</f>
        <v>0</v>
      </c>
      <c r="AN51" s="217">
        <f>IF(OR($Z$6=2,$Z$6=3,$Z$6=5),IF(AND(AN50&gt;6-(AL37+AL40+AL48),AL37+AL40+AL48&lt;=6),6-(AL37+AL40+AL48),IF(AND(AN50&gt;6,AL37+AL40+AL48=0),6,AN50)),0)</f>
        <v>0</v>
      </c>
      <c r="AO51" s="217">
        <f>IF(OR($Z$6=2,$Z$6=3,$Z$6=5),IF(AN50&lt;0,IF(AND(AM50+AN50&gt;6,AM50+AN50&gt;0),6,AM50+AN50),0),0)</f>
        <v>0</v>
      </c>
      <c r="AP51" s="217">
        <f>IF(OR($Z$6=6,$Z$6=8,$Z$6=9,$Z$6=10),AM50,0)</f>
        <v>0</v>
      </c>
    </row>
    <row r="52" spans="2:42" ht="12" customHeight="1">
      <c r="B52" s="7"/>
      <c r="C52" s="17">
        <v>45</v>
      </c>
      <c r="D52" s="18"/>
      <c r="E52" s="19"/>
      <c r="F52" s="10"/>
      <c r="AH52" s="217">
        <f>IF(AH51=80,100,IF(AH51=40,50,0))</f>
        <v>100</v>
      </c>
      <c r="AI52" s="217"/>
      <c r="AJ52" s="217"/>
      <c r="AK52" s="217">
        <f>IF(AK51=40,50,0)</f>
        <v>0</v>
      </c>
      <c r="AL52" s="224">
        <f>IF(OR(AJ51&gt;0,AK51=50),0,MAX(AM52:AO52))</f>
        <v>0</v>
      </c>
      <c r="AM52" s="217">
        <f>IF(OR($Z$6=1,$Z$6=4,$Z$6=7,$Z$6=11,$Z$6=12),IF(AM51&gt;=0,AM50-AM51,0),0)</f>
        <v>0</v>
      </c>
      <c r="AN52" s="217">
        <f>IF(OR($Z$6=2,$Z$6=3,$Z$6=5),IF(AN50-AN51&gt;AM50,AM50,AN50-AN51),0)</f>
        <v>0</v>
      </c>
      <c r="AO52" s="217"/>
      <c r="AP52" s="217"/>
    </row>
    <row r="53" spans="2:42" ht="12" customHeight="1">
      <c r="B53" s="7"/>
      <c r="C53" s="17">
        <v>46</v>
      </c>
      <c r="D53" s="18"/>
      <c r="E53" s="19"/>
      <c r="F53" s="10"/>
      <c r="AH53" s="221" t="s">
        <v>26</v>
      </c>
      <c r="AI53" s="217"/>
      <c r="AJ53" s="217"/>
      <c r="AK53" s="217"/>
      <c r="AL53" s="224"/>
      <c r="AM53" s="222"/>
      <c r="AN53" s="217"/>
      <c r="AO53" s="217"/>
      <c r="AP53" s="217"/>
    </row>
    <row r="54" spans="2:42" ht="12" customHeight="1">
      <c r="B54" s="7"/>
      <c r="C54" s="17">
        <v>47</v>
      </c>
      <c r="D54" s="18"/>
      <c r="E54" s="19"/>
      <c r="F54" s="10"/>
      <c r="AH54" s="217">
        <f>IF(AND($M$12="нет",$L$14="нет"),IF(OR($Z$6=1,$Z$6=4,$Z$6=7,$Z$6=11,$Z$6=12),100,IF(OR($Z$6=2,$Z$6=3,$Z$6=5),50,0)),0)</f>
        <v>100</v>
      </c>
      <c r="AI54" s="217">
        <f>IF($L$14="нет",IF(OR($Z$6=6,$Z$6=8,$Z$6=9,$Z$6=10),100,0),0)</f>
        <v>0</v>
      </c>
      <c r="AJ54" s="217">
        <f>IF(AND($M$12="да",L14="нет"),IF(OR($Z$6=1,$Z$6=4,$Z$6=7,$Z$6=11,$Z$6=12),100,IF(OR($Z$6=2,$Z$6=3,$Z$6=5),50,0)),0)</f>
        <v>0</v>
      </c>
      <c r="AK54" s="217">
        <f>IF($L$14="да",50,0)</f>
        <v>0</v>
      </c>
      <c r="AL54" s="224">
        <f>AM54</f>
        <v>0</v>
      </c>
      <c r="AM54" s="223">
        <f>календарь!$N$12</f>
        <v>0</v>
      </c>
      <c r="AN54" s="217"/>
      <c r="AO54" s="217"/>
      <c r="AP54" s="217"/>
    </row>
    <row r="55" spans="2:6" ht="12" customHeight="1">
      <c r="B55" s="7"/>
      <c r="C55" s="17">
        <v>48</v>
      </c>
      <c r="D55" s="18"/>
      <c r="E55" s="19"/>
      <c r="F55" s="10"/>
    </row>
    <row r="56" spans="2:6" ht="12" customHeight="1">
      <c r="B56" s="7"/>
      <c r="C56" s="17">
        <v>49</v>
      </c>
      <c r="D56" s="18"/>
      <c r="E56" s="19"/>
      <c r="F56" s="10"/>
    </row>
    <row r="57" spans="2:6" ht="12" customHeight="1">
      <c r="B57" s="7"/>
      <c r="C57" s="17">
        <v>50</v>
      </c>
      <c r="D57" s="18"/>
      <c r="E57" s="19"/>
      <c r="F57" s="10"/>
    </row>
    <row r="58" spans="2:6" ht="12" customHeight="1">
      <c r="B58" s="7"/>
      <c r="C58" s="17">
        <v>51</v>
      </c>
      <c r="D58" s="18"/>
      <c r="E58" s="19"/>
      <c r="F58" s="10"/>
    </row>
    <row r="59" spans="2:6" ht="12" customHeight="1">
      <c r="B59" s="7"/>
      <c r="C59" s="17">
        <v>52</v>
      </c>
      <c r="D59" s="18"/>
      <c r="E59" s="19"/>
      <c r="F59" s="10"/>
    </row>
    <row r="60" spans="2:6" ht="12" customHeight="1">
      <c r="B60" s="7"/>
      <c r="C60" s="17">
        <v>53</v>
      </c>
      <c r="D60" s="18"/>
      <c r="E60" s="19"/>
      <c r="F60" s="10"/>
    </row>
    <row r="61" spans="2:6" ht="12" customHeight="1">
      <c r="B61" s="7"/>
      <c r="C61" s="17">
        <v>54</v>
      </c>
      <c r="D61" s="18"/>
      <c r="E61" s="19"/>
      <c r="F61" s="10"/>
    </row>
    <row r="62" spans="2:6" ht="12" customHeight="1">
      <c r="B62" s="7"/>
      <c r="C62" s="17">
        <v>55</v>
      </c>
      <c r="D62" s="18"/>
      <c r="E62" s="19"/>
      <c r="F62" s="10"/>
    </row>
    <row r="63" spans="2:6" ht="12" customHeight="1">
      <c r="B63" s="7"/>
      <c r="C63" s="17">
        <v>56</v>
      </c>
      <c r="D63" s="18"/>
      <c r="E63" s="19"/>
      <c r="F63" s="10"/>
    </row>
    <row r="64" spans="2:6" ht="12" customHeight="1">
      <c r="B64" s="7"/>
      <c r="C64" s="17">
        <v>57</v>
      </c>
      <c r="D64" s="18"/>
      <c r="E64" s="19"/>
      <c r="F64" s="10"/>
    </row>
    <row r="65" spans="2:6" ht="12" customHeight="1">
      <c r="B65" s="7"/>
      <c r="C65" s="17">
        <v>58</v>
      </c>
      <c r="D65" s="18"/>
      <c r="E65" s="19"/>
      <c r="F65" s="10"/>
    </row>
    <row r="66" spans="2:6" ht="12" customHeight="1">
      <c r="B66" s="7"/>
      <c r="C66" s="17">
        <v>59</v>
      </c>
      <c r="D66" s="18"/>
      <c r="E66" s="19"/>
      <c r="F66" s="10"/>
    </row>
    <row r="67" spans="2:6" ht="12" customHeight="1">
      <c r="B67" s="7"/>
      <c r="C67" s="17">
        <v>60</v>
      </c>
      <c r="D67" s="18"/>
      <c r="E67" s="19"/>
      <c r="F67" s="10"/>
    </row>
    <row r="68" spans="2:6" ht="12" customHeight="1">
      <c r="B68" s="7"/>
      <c r="C68" s="17">
        <v>61</v>
      </c>
      <c r="D68" s="18"/>
      <c r="E68" s="19"/>
      <c r="F68" s="10"/>
    </row>
    <row r="69" spans="2:6" ht="12" customHeight="1">
      <c r="B69" s="7"/>
      <c r="C69" s="17">
        <v>62</v>
      </c>
      <c r="D69" s="18"/>
      <c r="E69" s="19"/>
      <c r="F69" s="10"/>
    </row>
    <row r="70" spans="2:6" ht="12" customHeight="1">
      <c r="B70" s="7"/>
      <c r="C70" s="17">
        <v>63</v>
      </c>
      <c r="D70" s="18"/>
      <c r="E70" s="19"/>
      <c r="F70" s="10"/>
    </row>
    <row r="71" spans="2:6" ht="12" customHeight="1">
      <c r="B71" s="7"/>
      <c r="C71" s="17">
        <v>64</v>
      </c>
      <c r="D71" s="18"/>
      <c r="E71" s="19"/>
      <c r="F71" s="10"/>
    </row>
    <row r="72" spans="2:6" ht="12" customHeight="1">
      <c r="B72" s="7"/>
      <c r="C72" s="17">
        <v>65</v>
      </c>
      <c r="D72" s="18"/>
      <c r="E72" s="19"/>
      <c r="F72" s="10"/>
    </row>
    <row r="73" spans="2:6" ht="12" customHeight="1">
      <c r="B73" s="7"/>
      <c r="C73" s="17">
        <v>66</v>
      </c>
      <c r="D73" s="18"/>
      <c r="E73" s="19"/>
      <c r="F73" s="10"/>
    </row>
    <row r="74" spans="2:6" ht="12" customHeight="1">
      <c r="B74" s="7"/>
      <c r="C74" s="17">
        <v>67</v>
      </c>
      <c r="D74" s="18"/>
      <c r="E74" s="19"/>
      <c r="F74" s="10"/>
    </row>
    <row r="75" spans="2:6" ht="12" customHeight="1">
      <c r="B75" s="7"/>
      <c r="C75" s="17">
        <v>68</v>
      </c>
      <c r="D75" s="18"/>
      <c r="E75" s="19"/>
      <c r="F75" s="10"/>
    </row>
    <row r="76" spans="2:6" ht="12" customHeight="1">
      <c r="B76" s="7"/>
      <c r="C76" s="17">
        <v>69</v>
      </c>
      <c r="D76" s="18"/>
      <c r="E76" s="19"/>
      <c r="F76" s="10"/>
    </row>
    <row r="77" spans="2:6" ht="12" customHeight="1">
      <c r="B77" s="7"/>
      <c r="C77" s="17">
        <v>70</v>
      </c>
      <c r="D77" s="18"/>
      <c r="E77" s="19"/>
      <c r="F77" s="10"/>
    </row>
    <row r="78" spans="2:6" ht="12" customHeight="1">
      <c r="B78" s="7"/>
      <c r="C78" s="17">
        <v>71</v>
      </c>
      <c r="D78" s="18"/>
      <c r="E78" s="19"/>
      <c r="F78" s="10"/>
    </row>
    <row r="79" spans="2:6" ht="12" customHeight="1">
      <c r="B79" s="7"/>
      <c r="C79" s="17">
        <v>72</v>
      </c>
      <c r="D79" s="18"/>
      <c r="E79" s="19"/>
      <c r="F79" s="10"/>
    </row>
    <row r="80" spans="2:6" ht="12" customHeight="1">
      <c r="B80" s="7"/>
      <c r="C80" s="17">
        <v>73</v>
      </c>
      <c r="D80" s="18"/>
      <c r="E80" s="19"/>
      <c r="F80" s="10"/>
    </row>
    <row r="81" spans="2:6" ht="12" customHeight="1">
      <c r="B81" s="7"/>
      <c r="C81" s="17">
        <v>74</v>
      </c>
      <c r="D81" s="18"/>
      <c r="E81" s="19"/>
      <c r="F81" s="10"/>
    </row>
    <row r="82" spans="2:6" ht="12" customHeight="1">
      <c r="B82" s="7"/>
      <c r="C82" s="17">
        <v>75</v>
      </c>
      <c r="D82" s="18"/>
      <c r="E82" s="19"/>
      <c r="F82" s="10"/>
    </row>
    <row r="83" spans="2:6" ht="12" customHeight="1">
      <c r="B83" s="7"/>
      <c r="C83" s="17">
        <v>76</v>
      </c>
      <c r="D83" s="18"/>
      <c r="E83" s="19"/>
      <c r="F83" s="10"/>
    </row>
    <row r="84" spans="2:6" ht="12" customHeight="1">
      <c r="B84" s="7"/>
      <c r="C84" s="17">
        <v>77</v>
      </c>
      <c r="D84" s="18"/>
      <c r="E84" s="19"/>
      <c r="F84" s="10"/>
    </row>
    <row r="85" spans="2:6" ht="12" customHeight="1">
      <c r="B85" s="7"/>
      <c r="C85" s="17">
        <v>78</v>
      </c>
      <c r="D85" s="18"/>
      <c r="E85" s="19"/>
      <c r="F85" s="10"/>
    </row>
    <row r="86" spans="2:6" ht="12" customHeight="1">
      <c r="B86" s="7"/>
      <c r="C86" s="17">
        <v>79</v>
      </c>
      <c r="D86" s="18"/>
      <c r="E86" s="19"/>
      <c r="F86" s="10"/>
    </row>
    <row r="87" spans="2:6" ht="12" customHeight="1">
      <c r="B87" s="7"/>
      <c r="C87" s="17">
        <v>80</v>
      </c>
      <c r="D87" s="18"/>
      <c r="E87" s="19"/>
      <c r="F87" s="10"/>
    </row>
    <row r="88" spans="2:6" ht="12" customHeight="1">
      <c r="B88" s="7"/>
      <c r="C88" s="17">
        <v>81</v>
      </c>
      <c r="D88" s="18"/>
      <c r="E88" s="19"/>
      <c r="F88" s="10"/>
    </row>
    <row r="89" spans="2:6" ht="12" customHeight="1">
      <c r="B89" s="7"/>
      <c r="C89" s="17">
        <v>82</v>
      </c>
      <c r="D89" s="18"/>
      <c r="E89" s="19"/>
      <c r="F89" s="10"/>
    </row>
    <row r="90" spans="2:6" ht="12" customHeight="1">
      <c r="B90" s="7"/>
      <c r="C90" s="17">
        <v>83</v>
      </c>
      <c r="D90" s="18"/>
      <c r="E90" s="19"/>
      <c r="F90" s="10"/>
    </row>
    <row r="91" spans="2:6" ht="12" customHeight="1">
      <c r="B91" s="7"/>
      <c r="C91" s="17">
        <v>84</v>
      </c>
      <c r="D91" s="18"/>
      <c r="E91" s="19"/>
      <c r="F91" s="10"/>
    </row>
    <row r="92" spans="2:6" ht="12" customHeight="1">
      <c r="B92" s="7"/>
      <c r="C92" s="17">
        <v>85</v>
      </c>
      <c r="D92" s="18"/>
      <c r="E92" s="19"/>
      <c r="F92" s="10"/>
    </row>
    <row r="93" spans="2:6" ht="12" customHeight="1">
      <c r="B93" s="7"/>
      <c r="C93" s="17">
        <v>86</v>
      </c>
      <c r="D93" s="18"/>
      <c r="E93" s="19"/>
      <c r="F93" s="10"/>
    </row>
    <row r="94" spans="2:6" ht="12" customHeight="1">
      <c r="B94" s="7"/>
      <c r="C94" s="17">
        <v>87</v>
      </c>
      <c r="D94" s="18"/>
      <c r="E94" s="19"/>
      <c r="F94" s="10"/>
    </row>
    <row r="95" spans="2:6" ht="12" customHeight="1">
      <c r="B95" s="7"/>
      <c r="C95" s="17">
        <v>88</v>
      </c>
      <c r="D95" s="18"/>
      <c r="E95" s="19"/>
      <c r="F95" s="10"/>
    </row>
    <row r="96" spans="2:6" ht="12" customHeight="1">
      <c r="B96" s="7"/>
      <c r="C96" s="17">
        <v>89</v>
      </c>
      <c r="D96" s="18"/>
      <c r="E96" s="19"/>
      <c r="F96" s="10"/>
    </row>
    <row r="97" spans="2:6" ht="12" customHeight="1">
      <c r="B97" s="7"/>
      <c r="C97" s="17">
        <v>90</v>
      </c>
      <c r="D97" s="18"/>
      <c r="E97" s="19"/>
      <c r="F97" s="10"/>
    </row>
    <row r="98" spans="2:6" ht="12" customHeight="1">
      <c r="B98" s="7"/>
      <c r="C98" s="17">
        <v>91</v>
      </c>
      <c r="D98" s="18"/>
      <c r="E98" s="19"/>
      <c r="F98" s="10"/>
    </row>
    <row r="99" spans="2:6" ht="12" customHeight="1">
      <c r="B99" s="7"/>
      <c r="C99" s="17">
        <v>92</v>
      </c>
      <c r="D99" s="18"/>
      <c r="E99" s="19"/>
      <c r="F99" s="10"/>
    </row>
    <row r="100" spans="2:6" ht="12" customHeight="1">
      <c r="B100" s="7"/>
      <c r="C100" s="17">
        <v>93</v>
      </c>
      <c r="D100" s="18"/>
      <c r="E100" s="19"/>
      <c r="F100" s="10"/>
    </row>
    <row r="101" spans="2:6" ht="12" customHeight="1">
      <c r="B101" s="7"/>
      <c r="C101" s="17">
        <v>94</v>
      </c>
      <c r="D101" s="18"/>
      <c r="E101" s="19"/>
      <c r="F101" s="10"/>
    </row>
    <row r="102" spans="2:6" ht="12" customHeight="1">
      <c r="B102" s="7"/>
      <c r="C102" s="17">
        <v>95</v>
      </c>
      <c r="D102" s="18"/>
      <c r="E102" s="19"/>
      <c r="F102" s="10"/>
    </row>
    <row r="103" spans="2:6" ht="12" customHeight="1">
      <c r="B103" s="7"/>
      <c r="C103" s="17">
        <v>96</v>
      </c>
      <c r="D103" s="18"/>
      <c r="E103" s="19"/>
      <c r="F103" s="10"/>
    </row>
    <row r="104" spans="2:6" ht="12" customHeight="1">
      <c r="B104" s="7"/>
      <c r="C104" s="17">
        <v>97</v>
      </c>
      <c r="D104" s="18"/>
      <c r="E104" s="19"/>
      <c r="F104" s="10"/>
    </row>
    <row r="105" spans="2:6" ht="12" customHeight="1">
      <c r="B105" s="7"/>
      <c r="C105" s="17">
        <v>98</v>
      </c>
      <c r="D105" s="18"/>
      <c r="E105" s="19"/>
      <c r="F105" s="10"/>
    </row>
    <row r="106" spans="2:6" ht="12" customHeight="1">
      <c r="B106" s="7"/>
      <c r="C106" s="17">
        <v>99</v>
      </c>
      <c r="D106" s="18"/>
      <c r="E106" s="19"/>
      <c r="F106" s="10"/>
    </row>
    <row r="107" spans="2:6" ht="12" customHeight="1">
      <c r="B107" s="7"/>
      <c r="C107" s="17">
        <v>100</v>
      </c>
      <c r="D107" s="18"/>
      <c r="E107" s="19"/>
      <c r="F107" s="10"/>
    </row>
    <row r="108" spans="2:6" ht="12" customHeight="1">
      <c r="B108" s="7"/>
      <c r="C108" s="17">
        <v>101</v>
      </c>
      <c r="D108" s="18"/>
      <c r="E108" s="19"/>
      <c r="F108" s="10"/>
    </row>
    <row r="109" spans="2:6" ht="12" customHeight="1">
      <c r="B109" s="7"/>
      <c r="C109" s="17">
        <v>102</v>
      </c>
      <c r="D109" s="18"/>
      <c r="E109" s="19"/>
      <c r="F109" s="10"/>
    </row>
    <row r="110" spans="2:6" ht="12" customHeight="1">
      <c r="B110" s="7"/>
      <c r="C110" s="17">
        <v>103</v>
      </c>
      <c r="D110" s="18"/>
      <c r="E110" s="19"/>
      <c r="F110" s="10"/>
    </row>
    <row r="111" spans="2:6" ht="12" customHeight="1">
      <c r="B111" s="7"/>
      <c r="C111" s="17">
        <v>104</v>
      </c>
      <c r="D111" s="18"/>
      <c r="E111" s="19"/>
      <c r="F111" s="10"/>
    </row>
    <row r="112" spans="2:6" ht="12" customHeight="1">
      <c r="B112" s="7"/>
      <c r="C112" s="17">
        <v>105</v>
      </c>
      <c r="D112" s="18"/>
      <c r="E112" s="19"/>
      <c r="F112" s="10"/>
    </row>
    <row r="113" spans="2:6" ht="12" customHeight="1">
      <c r="B113" s="7"/>
      <c r="C113" s="17">
        <v>106</v>
      </c>
      <c r="D113" s="18"/>
      <c r="E113" s="19"/>
      <c r="F113" s="10"/>
    </row>
    <row r="114" spans="2:6" ht="12" customHeight="1">
      <c r="B114" s="7"/>
      <c r="C114" s="17">
        <v>107</v>
      </c>
      <c r="D114" s="18"/>
      <c r="E114" s="19"/>
      <c r="F114" s="10"/>
    </row>
    <row r="115" spans="2:6" ht="12" customHeight="1">
      <c r="B115" s="7"/>
      <c r="C115" s="17">
        <v>108</v>
      </c>
      <c r="D115" s="18"/>
      <c r="E115" s="19"/>
      <c r="F115" s="10"/>
    </row>
    <row r="116" spans="2:6" ht="12" customHeight="1">
      <c r="B116" s="7"/>
      <c r="C116" s="17">
        <v>109</v>
      </c>
      <c r="D116" s="18"/>
      <c r="E116" s="19"/>
      <c r="F116" s="10"/>
    </row>
    <row r="117" spans="2:6" ht="12" customHeight="1">
      <c r="B117" s="7"/>
      <c r="C117" s="17">
        <v>110</v>
      </c>
      <c r="D117" s="18"/>
      <c r="E117" s="19"/>
      <c r="F117" s="10"/>
    </row>
    <row r="118" spans="2:6" ht="12" customHeight="1">
      <c r="B118" s="7"/>
      <c r="C118" s="17">
        <v>111</v>
      </c>
      <c r="D118" s="18"/>
      <c r="E118" s="19"/>
      <c r="F118" s="10"/>
    </row>
    <row r="119" spans="2:6" ht="12" customHeight="1">
      <c r="B119" s="7"/>
      <c r="C119" s="17">
        <v>112</v>
      </c>
      <c r="D119" s="18"/>
      <c r="E119" s="19"/>
      <c r="F119" s="10"/>
    </row>
    <row r="120" spans="2:6" ht="12" customHeight="1">
      <c r="B120" s="7"/>
      <c r="C120" s="17">
        <v>113</v>
      </c>
      <c r="D120" s="18"/>
      <c r="E120" s="19"/>
      <c r="F120" s="10"/>
    </row>
    <row r="121" spans="2:6" ht="12" customHeight="1">
      <c r="B121" s="7"/>
      <c r="C121" s="17">
        <v>114</v>
      </c>
      <c r="D121" s="18"/>
      <c r="E121" s="19"/>
      <c r="F121" s="10"/>
    </row>
    <row r="122" spans="2:6" ht="12" customHeight="1">
      <c r="B122" s="7"/>
      <c r="C122" s="17">
        <v>115</v>
      </c>
      <c r="D122" s="18"/>
      <c r="E122" s="19"/>
      <c r="F122" s="10"/>
    </row>
    <row r="123" spans="2:6" ht="12" customHeight="1">
      <c r="B123" s="7"/>
      <c r="C123" s="17">
        <v>116</v>
      </c>
      <c r="D123" s="18"/>
      <c r="E123" s="19"/>
      <c r="F123" s="10"/>
    </row>
    <row r="124" spans="2:6" ht="12" customHeight="1">
      <c r="B124" s="7"/>
      <c r="C124" s="17">
        <v>117</v>
      </c>
      <c r="D124" s="18"/>
      <c r="E124" s="19"/>
      <c r="F124" s="10"/>
    </row>
    <row r="125" spans="2:6" ht="12" customHeight="1">
      <c r="B125" s="7"/>
      <c r="C125" s="17">
        <v>118</v>
      </c>
      <c r="D125" s="18"/>
      <c r="E125" s="19"/>
      <c r="F125" s="10"/>
    </row>
    <row r="126" spans="2:6" ht="12" customHeight="1">
      <c r="B126" s="7"/>
      <c r="C126" s="17">
        <v>119</v>
      </c>
      <c r="D126" s="18"/>
      <c r="E126" s="19"/>
      <c r="F126" s="10"/>
    </row>
    <row r="127" spans="2:6" ht="12" customHeight="1">
      <c r="B127" s="7"/>
      <c r="C127" s="17">
        <v>120</v>
      </c>
      <c r="D127" s="18"/>
      <c r="E127" s="19"/>
      <c r="F127" s="10"/>
    </row>
    <row r="128" spans="2:6" ht="12" customHeight="1">
      <c r="B128" s="7"/>
      <c r="C128" s="17">
        <v>121</v>
      </c>
      <c r="D128" s="18"/>
      <c r="E128" s="19"/>
      <c r="F128" s="10"/>
    </row>
    <row r="129" spans="2:6" ht="12" customHeight="1">
      <c r="B129" s="7"/>
      <c r="C129" s="17">
        <v>122</v>
      </c>
      <c r="D129" s="18"/>
      <c r="E129" s="19"/>
      <c r="F129" s="10"/>
    </row>
    <row r="130" spans="2:6" ht="12" customHeight="1">
      <c r="B130" s="7"/>
      <c r="C130" s="17">
        <v>123</v>
      </c>
      <c r="D130" s="18"/>
      <c r="E130" s="19"/>
      <c r="F130" s="10"/>
    </row>
    <row r="131" spans="2:6" ht="12" customHeight="1">
      <c r="B131" s="7"/>
      <c r="C131" s="17">
        <v>124</v>
      </c>
      <c r="D131" s="18"/>
      <c r="E131" s="19"/>
      <c r="F131" s="10"/>
    </row>
    <row r="132" spans="2:6" ht="12" customHeight="1">
      <c r="B132" s="7"/>
      <c r="C132" s="17">
        <v>125</v>
      </c>
      <c r="D132" s="18"/>
      <c r="E132" s="19"/>
      <c r="F132" s="10"/>
    </row>
    <row r="133" spans="2:6" ht="12" customHeight="1">
      <c r="B133" s="7"/>
      <c r="C133" s="17">
        <v>126</v>
      </c>
      <c r="D133" s="18"/>
      <c r="E133" s="19"/>
      <c r="F133" s="10"/>
    </row>
    <row r="134" spans="2:6" ht="12" customHeight="1">
      <c r="B134" s="7"/>
      <c r="C134" s="17">
        <v>127</v>
      </c>
      <c r="D134" s="18"/>
      <c r="E134" s="19"/>
      <c r="F134" s="10"/>
    </row>
    <row r="135" spans="2:6" ht="12" customHeight="1">
      <c r="B135" s="7"/>
      <c r="C135" s="17">
        <v>128</v>
      </c>
      <c r="D135" s="18"/>
      <c r="E135" s="19"/>
      <c r="F135" s="10"/>
    </row>
    <row r="136" spans="2:6" ht="12" customHeight="1">
      <c r="B136" s="7"/>
      <c r="C136" s="17">
        <v>129</v>
      </c>
      <c r="D136" s="18"/>
      <c r="E136" s="19"/>
      <c r="F136" s="10"/>
    </row>
    <row r="137" spans="2:6" ht="12" customHeight="1">
      <c r="B137" s="7"/>
      <c r="C137" s="17">
        <v>130</v>
      </c>
      <c r="D137" s="18"/>
      <c r="E137" s="19"/>
      <c r="F137" s="10"/>
    </row>
    <row r="138" spans="2:6" ht="12" customHeight="1">
      <c r="B138" s="7"/>
      <c r="C138" s="17">
        <v>131</v>
      </c>
      <c r="D138" s="18"/>
      <c r="E138" s="19"/>
      <c r="F138" s="10"/>
    </row>
    <row r="139" spans="2:6" ht="12" customHeight="1">
      <c r="B139" s="7"/>
      <c r="C139" s="17">
        <v>132</v>
      </c>
      <c r="D139" s="18"/>
      <c r="E139" s="19"/>
      <c r="F139" s="10"/>
    </row>
    <row r="140" spans="2:6" ht="12" customHeight="1">
      <c r="B140" s="7"/>
      <c r="C140" s="17">
        <v>133</v>
      </c>
      <c r="D140" s="18"/>
      <c r="E140" s="19"/>
      <c r="F140" s="10"/>
    </row>
    <row r="141" spans="2:6" ht="12" customHeight="1">
      <c r="B141" s="7"/>
      <c r="C141" s="17">
        <v>134</v>
      </c>
      <c r="D141" s="18"/>
      <c r="E141" s="19"/>
      <c r="F141" s="10"/>
    </row>
    <row r="142" spans="2:6" ht="12" customHeight="1">
      <c r="B142" s="7"/>
      <c r="C142" s="17">
        <v>135</v>
      </c>
      <c r="D142" s="18"/>
      <c r="E142" s="19"/>
      <c r="F142" s="10"/>
    </row>
    <row r="143" spans="2:6" ht="12" customHeight="1">
      <c r="B143" s="7"/>
      <c r="C143" s="17">
        <v>136</v>
      </c>
      <c r="D143" s="18"/>
      <c r="E143" s="19"/>
      <c r="F143" s="10"/>
    </row>
    <row r="144" spans="2:6" ht="12" customHeight="1">
      <c r="B144" s="7"/>
      <c r="C144" s="17">
        <v>137</v>
      </c>
      <c r="D144" s="18"/>
      <c r="E144" s="19"/>
      <c r="F144" s="10"/>
    </row>
    <row r="145" spans="2:6" ht="12" customHeight="1">
      <c r="B145" s="7"/>
      <c r="C145" s="17">
        <v>138</v>
      </c>
      <c r="D145" s="18"/>
      <c r="E145" s="19"/>
      <c r="F145" s="10"/>
    </row>
    <row r="146" spans="2:6" ht="12" customHeight="1">
      <c r="B146" s="7"/>
      <c r="C146" s="17">
        <v>139</v>
      </c>
      <c r="D146" s="18"/>
      <c r="E146" s="19"/>
      <c r="F146" s="10"/>
    </row>
    <row r="147" spans="2:6" ht="12" customHeight="1">
      <c r="B147" s="7"/>
      <c r="C147" s="17">
        <v>140</v>
      </c>
      <c r="D147" s="18"/>
      <c r="E147" s="19"/>
      <c r="F147" s="10"/>
    </row>
    <row r="148" spans="2:6" ht="12" customHeight="1">
      <c r="B148" s="7"/>
      <c r="C148" s="17">
        <v>141</v>
      </c>
      <c r="D148" s="18"/>
      <c r="E148" s="19"/>
      <c r="F148" s="10"/>
    </row>
    <row r="149" spans="2:6" ht="12" customHeight="1">
      <c r="B149" s="7"/>
      <c r="C149" s="17">
        <v>142</v>
      </c>
      <c r="D149" s="18"/>
      <c r="E149" s="19"/>
      <c r="F149" s="10"/>
    </row>
    <row r="150" spans="2:6" ht="12" customHeight="1">
      <c r="B150" s="7"/>
      <c r="C150" s="17">
        <v>143</v>
      </c>
      <c r="D150" s="18"/>
      <c r="E150" s="19"/>
      <c r="F150" s="10"/>
    </row>
    <row r="151" spans="2:6" ht="12" customHeight="1">
      <c r="B151" s="7"/>
      <c r="C151" s="17">
        <v>144</v>
      </c>
      <c r="D151" s="18"/>
      <c r="E151" s="19"/>
      <c r="F151" s="10"/>
    </row>
    <row r="152" spans="2:6" ht="12" customHeight="1">
      <c r="B152" s="7"/>
      <c r="C152" s="17">
        <v>145</v>
      </c>
      <c r="D152" s="18"/>
      <c r="E152" s="19"/>
      <c r="F152" s="10"/>
    </row>
    <row r="153" spans="2:6" ht="12" customHeight="1">
      <c r="B153" s="7"/>
      <c r="C153" s="17">
        <v>146</v>
      </c>
      <c r="D153" s="18"/>
      <c r="E153" s="19"/>
      <c r="F153" s="10"/>
    </row>
    <row r="154" spans="2:6" ht="12" customHeight="1">
      <c r="B154" s="7"/>
      <c r="C154" s="17">
        <v>147</v>
      </c>
      <c r="D154" s="18"/>
      <c r="E154" s="19"/>
      <c r="F154" s="10"/>
    </row>
    <row r="155" spans="2:6" ht="12" customHeight="1">
      <c r="B155" s="7"/>
      <c r="C155" s="17">
        <v>148</v>
      </c>
      <c r="D155" s="18"/>
      <c r="E155" s="19"/>
      <c r="F155" s="10"/>
    </row>
    <row r="156" spans="2:6" ht="12" customHeight="1">
      <c r="B156" s="7"/>
      <c r="C156" s="17">
        <v>149</v>
      </c>
      <c r="D156" s="18"/>
      <c r="E156" s="19"/>
      <c r="F156" s="10"/>
    </row>
    <row r="157" spans="2:6" ht="12" customHeight="1">
      <c r="B157" s="7"/>
      <c r="C157" s="17">
        <v>150</v>
      </c>
      <c r="D157" s="18"/>
      <c r="E157" s="19"/>
      <c r="F157" s="10"/>
    </row>
    <row r="158" spans="2:6" ht="12" customHeight="1">
      <c r="B158" s="7"/>
      <c r="C158" s="17">
        <v>151</v>
      </c>
      <c r="D158" s="18"/>
      <c r="E158" s="19"/>
      <c r="F158" s="10"/>
    </row>
    <row r="159" spans="2:6" ht="12" customHeight="1">
      <c r="B159" s="7"/>
      <c r="C159" s="17">
        <v>152</v>
      </c>
      <c r="D159" s="18"/>
      <c r="E159" s="19"/>
      <c r="F159" s="10"/>
    </row>
    <row r="160" spans="2:6" ht="12" customHeight="1">
      <c r="B160" s="7"/>
      <c r="C160" s="17">
        <v>153</v>
      </c>
      <c r="D160" s="18"/>
      <c r="E160" s="19"/>
      <c r="F160" s="10"/>
    </row>
    <row r="161" spans="2:6" ht="12" customHeight="1">
      <c r="B161" s="7"/>
      <c r="C161" s="17">
        <v>154</v>
      </c>
      <c r="D161" s="18"/>
      <c r="E161" s="19"/>
      <c r="F161" s="10"/>
    </row>
    <row r="162" spans="2:6" ht="12" customHeight="1">
      <c r="B162" s="7"/>
      <c r="C162" s="17">
        <v>155</v>
      </c>
      <c r="D162" s="18"/>
      <c r="E162" s="19"/>
      <c r="F162" s="10"/>
    </row>
    <row r="163" spans="2:6" ht="12" customHeight="1">
      <c r="B163" s="7"/>
      <c r="C163" s="17">
        <v>156</v>
      </c>
      <c r="D163" s="18"/>
      <c r="E163" s="19"/>
      <c r="F163" s="10"/>
    </row>
    <row r="164" spans="2:6" ht="12" customHeight="1">
      <c r="B164" s="7"/>
      <c r="C164" s="17">
        <v>157</v>
      </c>
      <c r="D164" s="18"/>
      <c r="E164" s="19"/>
      <c r="F164" s="10"/>
    </row>
    <row r="165" spans="2:6" ht="12" customHeight="1">
      <c r="B165" s="7"/>
      <c r="C165" s="17">
        <v>158</v>
      </c>
      <c r="D165" s="18"/>
      <c r="E165" s="19"/>
      <c r="F165" s="10"/>
    </row>
    <row r="166" spans="2:6" ht="12" customHeight="1">
      <c r="B166" s="7"/>
      <c r="C166" s="17">
        <v>159</v>
      </c>
      <c r="D166" s="18"/>
      <c r="E166" s="19"/>
      <c r="F166" s="10"/>
    </row>
    <row r="167" spans="2:6" ht="12" customHeight="1">
      <c r="B167" s="7"/>
      <c r="C167" s="17">
        <v>160</v>
      </c>
      <c r="D167" s="18"/>
      <c r="E167" s="19"/>
      <c r="F167" s="10"/>
    </row>
    <row r="168" spans="2:6" ht="12" customHeight="1">
      <c r="B168" s="7"/>
      <c r="C168" s="17">
        <v>161</v>
      </c>
      <c r="D168" s="18"/>
      <c r="E168" s="19"/>
      <c r="F168" s="10"/>
    </row>
    <row r="169" spans="2:6" ht="12" customHeight="1">
      <c r="B169" s="7"/>
      <c r="C169" s="17">
        <v>162</v>
      </c>
      <c r="D169" s="18"/>
      <c r="E169" s="19"/>
      <c r="F169" s="10"/>
    </row>
    <row r="170" spans="2:6" ht="12" customHeight="1">
      <c r="B170" s="7"/>
      <c r="C170" s="17">
        <v>163</v>
      </c>
      <c r="D170" s="18"/>
      <c r="E170" s="19"/>
      <c r="F170" s="10"/>
    </row>
    <row r="171" spans="2:6" ht="12" customHeight="1">
      <c r="B171" s="7"/>
      <c r="C171" s="17">
        <v>164</v>
      </c>
      <c r="D171" s="18"/>
      <c r="E171" s="19"/>
      <c r="F171" s="10"/>
    </row>
    <row r="172" spans="2:6" ht="12" customHeight="1">
      <c r="B172" s="7"/>
      <c r="C172" s="17">
        <v>165</v>
      </c>
      <c r="D172" s="18"/>
      <c r="E172" s="19"/>
      <c r="F172" s="10"/>
    </row>
    <row r="173" spans="2:6" ht="12" customHeight="1">
      <c r="B173" s="7"/>
      <c r="C173" s="17">
        <v>166</v>
      </c>
      <c r="D173" s="18"/>
      <c r="E173" s="19"/>
      <c r="F173" s="10"/>
    </row>
    <row r="174" spans="2:6" ht="12" customHeight="1">
      <c r="B174" s="7"/>
      <c r="C174" s="17">
        <v>167</v>
      </c>
      <c r="D174" s="18"/>
      <c r="E174" s="19"/>
      <c r="F174" s="10"/>
    </row>
    <row r="175" spans="2:6" ht="12" customHeight="1">
      <c r="B175" s="7"/>
      <c r="C175" s="17">
        <v>168</v>
      </c>
      <c r="D175" s="18"/>
      <c r="E175" s="19"/>
      <c r="F175" s="10"/>
    </row>
    <row r="176" spans="2:6" ht="12" customHeight="1">
      <c r="B176" s="7"/>
      <c r="C176" s="17">
        <v>169</v>
      </c>
      <c r="D176" s="18"/>
      <c r="E176" s="19"/>
      <c r="F176" s="10"/>
    </row>
    <row r="177" spans="2:6" ht="12" customHeight="1">
      <c r="B177" s="7"/>
      <c r="C177" s="17">
        <v>170</v>
      </c>
      <c r="D177" s="18"/>
      <c r="E177" s="19"/>
      <c r="F177" s="10"/>
    </row>
    <row r="178" spans="2:6" ht="12" customHeight="1">
      <c r="B178" s="7"/>
      <c r="C178" s="17">
        <v>171</v>
      </c>
      <c r="D178" s="18"/>
      <c r="E178" s="19"/>
      <c r="F178" s="10"/>
    </row>
    <row r="179" spans="2:6" ht="12" customHeight="1">
      <c r="B179" s="7"/>
      <c r="C179" s="17">
        <v>172</v>
      </c>
      <c r="D179" s="18"/>
      <c r="E179" s="19"/>
      <c r="F179" s="10"/>
    </row>
    <row r="180" spans="2:6" ht="12" customHeight="1">
      <c r="B180" s="7"/>
      <c r="C180" s="17">
        <v>173</v>
      </c>
      <c r="D180" s="18"/>
      <c r="E180" s="19"/>
      <c r="F180" s="10"/>
    </row>
    <row r="181" spans="2:6" ht="12" customHeight="1">
      <c r="B181" s="7"/>
      <c r="C181" s="17">
        <v>174</v>
      </c>
      <c r="D181" s="18"/>
      <c r="E181" s="19"/>
      <c r="F181" s="10"/>
    </row>
    <row r="182" spans="2:6" ht="12" customHeight="1">
      <c r="B182" s="7"/>
      <c r="C182" s="17">
        <v>175</v>
      </c>
      <c r="D182" s="18"/>
      <c r="E182" s="19"/>
      <c r="F182" s="10"/>
    </row>
    <row r="183" spans="2:6" ht="12" customHeight="1">
      <c r="B183" s="7"/>
      <c r="C183" s="17">
        <v>176</v>
      </c>
      <c r="D183" s="18"/>
      <c r="E183" s="19"/>
      <c r="F183" s="10"/>
    </row>
    <row r="184" spans="2:6" ht="12" customHeight="1">
      <c r="B184" s="7"/>
      <c r="C184" s="17">
        <v>177</v>
      </c>
      <c r="D184" s="18"/>
      <c r="E184" s="19"/>
      <c r="F184" s="10"/>
    </row>
    <row r="185" spans="2:6" ht="12" customHeight="1">
      <c r="B185" s="7"/>
      <c r="C185" s="17">
        <v>178</v>
      </c>
      <c r="D185" s="18"/>
      <c r="E185" s="19"/>
      <c r="F185" s="10"/>
    </row>
    <row r="186" spans="2:6" ht="12" customHeight="1">
      <c r="B186" s="7"/>
      <c r="C186" s="17">
        <v>179</v>
      </c>
      <c r="D186" s="18"/>
      <c r="E186" s="19"/>
      <c r="F186" s="10"/>
    </row>
    <row r="187" spans="2:6" ht="12" customHeight="1">
      <c r="B187" s="7"/>
      <c r="C187" s="17">
        <v>180</v>
      </c>
      <c r="D187" s="18"/>
      <c r="E187" s="19"/>
      <c r="F187" s="10"/>
    </row>
    <row r="188" spans="2:6" ht="12" customHeight="1">
      <c r="B188" s="7"/>
      <c r="C188" s="17">
        <v>181</v>
      </c>
      <c r="D188" s="18"/>
      <c r="E188" s="19"/>
      <c r="F188" s="10"/>
    </row>
    <row r="189" spans="2:6" ht="12" customHeight="1">
      <c r="B189" s="7"/>
      <c r="C189" s="17">
        <v>182</v>
      </c>
      <c r="D189" s="18"/>
      <c r="E189" s="19"/>
      <c r="F189" s="10"/>
    </row>
    <row r="190" spans="2:6" ht="12" customHeight="1">
      <c r="B190" s="7"/>
      <c r="C190" s="17">
        <v>183</v>
      </c>
      <c r="D190" s="18"/>
      <c r="E190" s="19"/>
      <c r="F190" s="10"/>
    </row>
    <row r="191" spans="2:6" ht="12" customHeight="1">
      <c r="B191" s="7"/>
      <c r="C191" s="17">
        <v>184</v>
      </c>
      <c r="D191" s="18"/>
      <c r="E191" s="19"/>
      <c r="F191" s="10"/>
    </row>
    <row r="192" spans="2:6" ht="12" customHeight="1">
      <c r="B192" s="7"/>
      <c r="C192" s="17">
        <v>185</v>
      </c>
      <c r="D192" s="18"/>
      <c r="E192" s="19"/>
      <c r="F192" s="10"/>
    </row>
    <row r="193" spans="2:6" ht="12" customHeight="1">
      <c r="B193" s="7"/>
      <c r="C193" s="17">
        <v>186</v>
      </c>
      <c r="D193" s="18"/>
      <c r="E193" s="19"/>
      <c r="F193" s="10"/>
    </row>
    <row r="194" spans="2:6" ht="12" customHeight="1">
      <c r="B194" s="7"/>
      <c r="C194" s="17">
        <v>187</v>
      </c>
      <c r="D194" s="18"/>
      <c r="E194" s="19"/>
      <c r="F194" s="10"/>
    </row>
    <row r="195" spans="2:6" ht="12" customHeight="1">
      <c r="B195" s="7"/>
      <c r="C195" s="17">
        <v>188</v>
      </c>
      <c r="D195" s="18"/>
      <c r="E195" s="19"/>
      <c r="F195" s="10"/>
    </row>
    <row r="196" spans="2:6" ht="12" customHeight="1">
      <c r="B196" s="7"/>
      <c r="C196" s="17">
        <v>189</v>
      </c>
      <c r="D196" s="18"/>
      <c r="E196" s="19"/>
      <c r="F196" s="10"/>
    </row>
    <row r="197" spans="2:6" ht="12" customHeight="1">
      <c r="B197" s="7"/>
      <c r="C197" s="17">
        <v>190</v>
      </c>
      <c r="D197" s="18"/>
      <c r="E197" s="19"/>
      <c r="F197" s="10"/>
    </row>
    <row r="198" spans="2:6" ht="12" customHeight="1">
      <c r="B198" s="7"/>
      <c r="C198" s="17">
        <v>191</v>
      </c>
      <c r="D198" s="18"/>
      <c r="E198" s="19"/>
      <c r="F198" s="10"/>
    </row>
    <row r="199" spans="2:6" ht="12" customHeight="1">
      <c r="B199" s="7"/>
      <c r="C199" s="17">
        <v>192</v>
      </c>
      <c r="D199" s="18"/>
      <c r="E199" s="19"/>
      <c r="F199" s="10"/>
    </row>
    <row r="200" spans="2:6" ht="12" customHeight="1">
      <c r="B200" s="7"/>
      <c r="C200" s="17">
        <v>193</v>
      </c>
      <c r="D200" s="18"/>
      <c r="E200" s="19"/>
      <c r="F200" s="10"/>
    </row>
    <row r="201" spans="2:6" ht="12" customHeight="1">
      <c r="B201" s="7"/>
      <c r="C201" s="17">
        <v>194</v>
      </c>
      <c r="D201" s="18"/>
      <c r="E201" s="19"/>
      <c r="F201" s="10"/>
    </row>
    <row r="202" spans="2:6" ht="12" customHeight="1">
      <c r="B202" s="7"/>
      <c r="C202" s="17">
        <v>195</v>
      </c>
      <c r="D202" s="18"/>
      <c r="E202" s="19"/>
      <c r="F202" s="10"/>
    </row>
    <row r="203" spans="2:6" ht="12" customHeight="1">
      <c r="B203" s="7"/>
      <c r="C203" s="17">
        <v>196</v>
      </c>
      <c r="D203" s="18"/>
      <c r="E203" s="19"/>
      <c r="F203" s="10"/>
    </row>
    <row r="204" spans="2:6" ht="12" customHeight="1">
      <c r="B204" s="7"/>
      <c r="C204" s="17">
        <v>197</v>
      </c>
      <c r="D204" s="18"/>
      <c r="E204" s="19"/>
      <c r="F204" s="10"/>
    </row>
    <row r="205" spans="2:6" ht="12" customHeight="1">
      <c r="B205" s="7"/>
      <c r="C205" s="17">
        <v>198</v>
      </c>
      <c r="D205" s="18"/>
      <c r="E205" s="19"/>
      <c r="F205" s="10"/>
    </row>
    <row r="206" spans="2:6" ht="12" customHeight="1">
      <c r="B206" s="7"/>
      <c r="C206" s="17">
        <v>199</v>
      </c>
      <c r="D206" s="18"/>
      <c r="E206" s="19"/>
      <c r="F206" s="10"/>
    </row>
    <row r="207" spans="2:6" ht="12" customHeight="1">
      <c r="B207" s="7"/>
      <c r="C207" s="17">
        <v>200</v>
      </c>
      <c r="D207" s="18"/>
      <c r="E207" s="19"/>
      <c r="F207" s="10"/>
    </row>
    <row r="208" spans="2:6" ht="12" customHeight="1">
      <c r="B208" s="7"/>
      <c r="C208" s="17">
        <v>201</v>
      </c>
      <c r="D208" s="18"/>
      <c r="E208" s="19"/>
      <c r="F208" s="10"/>
    </row>
    <row r="209" spans="2:6" ht="12" customHeight="1">
      <c r="B209" s="7"/>
      <c r="C209" s="17">
        <v>202</v>
      </c>
      <c r="D209" s="18"/>
      <c r="E209" s="19"/>
      <c r="F209" s="10"/>
    </row>
    <row r="210" spans="2:6" ht="12" customHeight="1">
      <c r="B210" s="7"/>
      <c r="C210" s="17">
        <v>203</v>
      </c>
      <c r="D210" s="18"/>
      <c r="E210" s="19"/>
      <c r="F210" s="10"/>
    </row>
    <row r="211" spans="2:6" ht="12" customHeight="1">
      <c r="B211" s="7"/>
      <c r="C211" s="17">
        <v>204</v>
      </c>
      <c r="D211" s="18"/>
      <c r="E211" s="19"/>
      <c r="F211" s="10"/>
    </row>
    <row r="212" spans="2:6" ht="12" customHeight="1">
      <c r="B212" s="7"/>
      <c r="C212" s="17">
        <v>205</v>
      </c>
      <c r="D212" s="18"/>
      <c r="E212" s="19"/>
      <c r="F212" s="10"/>
    </row>
    <row r="213" spans="2:6" ht="12" customHeight="1">
      <c r="B213" s="7"/>
      <c r="C213" s="17">
        <v>206</v>
      </c>
      <c r="D213" s="18"/>
      <c r="E213" s="19"/>
      <c r="F213" s="10"/>
    </row>
    <row r="214" spans="2:6" ht="12" customHeight="1">
      <c r="B214" s="7"/>
      <c r="C214" s="17">
        <v>207</v>
      </c>
      <c r="D214" s="18"/>
      <c r="E214" s="19"/>
      <c r="F214" s="10"/>
    </row>
    <row r="215" spans="2:6" ht="12" customHeight="1">
      <c r="B215" s="7"/>
      <c r="C215" s="17">
        <v>208</v>
      </c>
      <c r="D215" s="18"/>
      <c r="E215" s="19"/>
      <c r="F215" s="10"/>
    </row>
    <row r="216" spans="2:6" ht="12" customHeight="1">
      <c r="B216" s="7"/>
      <c r="C216" s="17">
        <v>209</v>
      </c>
      <c r="D216" s="18"/>
      <c r="E216" s="19"/>
      <c r="F216" s="10"/>
    </row>
    <row r="217" spans="2:6" ht="12" customHeight="1">
      <c r="B217" s="7"/>
      <c r="C217" s="17">
        <v>210</v>
      </c>
      <c r="D217" s="18"/>
      <c r="E217" s="19"/>
      <c r="F217" s="10"/>
    </row>
    <row r="218" spans="2:6" ht="12" customHeight="1">
      <c r="B218" s="7"/>
      <c r="C218" s="17">
        <v>211</v>
      </c>
      <c r="D218" s="18"/>
      <c r="E218" s="19"/>
      <c r="F218" s="10"/>
    </row>
    <row r="219" spans="2:6" ht="12" customHeight="1">
      <c r="B219" s="7"/>
      <c r="C219" s="17">
        <v>212</v>
      </c>
      <c r="D219" s="18"/>
      <c r="E219" s="19"/>
      <c r="F219" s="10"/>
    </row>
    <row r="220" spans="2:6" ht="12" customHeight="1">
      <c r="B220" s="7"/>
      <c r="C220" s="17">
        <v>213</v>
      </c>
      <c r="D220" s="18"/>
      <c r="E220" s="19"/>
      <c r="F220" s="10"/>
    </row>
    <row r="221" spans="2:6" ht="12" customHeight="1">
      <c r="B221" s="7"/>
      <c r="C221" s="17">
        <v>214</v>
      </c>
      <c r="D221" s="18"/>
      <c r="E221" s="19"/>
      <c r="F221" s="10"/>
    </row>
    <row r="222" spans="2:6" ht="12" customHeight="1">
      <c r="B222" s="7"/>
      <c r="C222" s="17">
        <v>215</v>
      </c>
      <c r="D222" s="18"/>
      <c r="E222" s="19"/>
      <c r="F222" s="10"/>
    </row>
    <row r="223" spans="2:6" ht="12" customHeight="1">
      <c r="B223" s="7"/>
      <c r="C223" s="17">
        <v>216</v>
      </c>
      <c r="D223" s="18"/>
      <c r="E223" s="19"/>
      <c r="F223" s="10"/>
    </row>
    <row r="224" spans="2:6" ht="12" customHeight="1">
      <c r="B224" s="7"/>
      <c r="C224" s="17">
        <v>217</v>
      </c>
      <c r="D224" s="18"/>
      <c r="E224" s="19"/>
      <c r="F224" s="10"/>
    </row>
    <row r="225" spans="2:6" ht="12" customHeight="1">
      <c r="B225" s="7"/>
      <c r="C225" s="17">
        <v>218</v>
      </c>
      <c r="D225" s="18"/>
      <c r="E225" s="19"/>
      <c r="F225" s="10"/>
    </row>
    <row r="226" spans="2:6" ht="12" customHeight="1">
      <c r="B226" s="7"/>
      <c r="C226" s="17">
        <v>219</v>
      </c>
      <c r="D226" s="18"/>
      <c r="E226" s="19"/>
      <c r="F226" s="10"/>
    </row>
    <row r="227" spans="2:6" ht="12" customHeight="1">
      <c r="B227" s="7"/>
      <c r="C227" s="17">
        <v>220</v>
      </c>
      <c r="D227" s="18"/>
      <c r="E227" s="19"/>
      <c r="F227" s="10"/>
    </row>
    <row r="228" spans="2:6" ht="12" customHeight="1">
      <c r="B228" s="7"/>
      <c r="C228" s="17">
        <v>221</v>
      </c>
      <c r="D228" s="18"/>
      <c r="E228" s="19"/>
      <c r="F228" s="10"/>
    </row>
    <row r="229" spans="2:6" ht="12" customHeight="1">
      <c r="B229" s="7"/>
      <c r="C229" s="17">
        <v>222</v>
      </c>
      <c r="D229" s="18"/>
      <c r="E229" s="19"/>
      <c r="F229" s="10"/>
    </row>
    <row r="230" spans="2:6" ht="12" customHeight="1">
      <c r="B230" s="7"/>
      <c r="C230" s="17">
        <v>223</v>
      </c>
      <c r="D230" s="18"/>
      <c r="E230" s="19"/>
      <c r="F230" s="10"/>
    </row>
    <row r="231" spans="2:6" ht="12" customHeight="1">
      <c r="B231" s="7"/>
      <c r="C231" s="17">
        <v>224</v>
      </c>
      <c r="D231" s="18"/>
      <c r="E231" s="19"/>
      <c r="F231" s="10"/>
    </row>
    <row r="232" spans="2:6" ht="12" customHeight="1">
      <c r="B232" s="7"/>
      <c r="C232" s="17">
        <v>225</v>
      </c>
      <c r="D232" s="18"/>
      <c r="E232" s="19"/>
      <c r="F232" s="10"/>
    </row>
    <row r="233" spans="2:6" ht="12" customHeight="1">
      <c r="B233" s="7"/>
      <c r="C233" s="17">
        <v>226</v>
      </c>
      <c r="D233" s="18"/>
      <c r="E233" s="19"/>
      <c r="F233" s="10"/>
    </row>
    <row r="234" spans="2:6" ht="12" customHeight="1">
      <c r="B234" s="7"/>
      <c r="C234" s="17">
        <v>227</v>
      </c>
      <c r="D234" s="18"/>
      <c r="E234" s="19"/>
      <c r="F234" s="10"/>
    </row>
    <row r="235" spans="2:6" ht="12" customHeight="1">
      <c r="B235" s="7"/>
      <c r="C235" s="17">
        <v>228</v>
      </c>
      <c r="D235" s="18"/>
      <c r="E235" s="19"/>
      <c r="F235" s="10"/>
    </row>
    <row r="236" spans="2:6" ht="12" customHeight="1">
      <c r="B236" s="7"/>
      <c r="C236" s="17">
        <v>229</v>
      </c>
      <c r="D236" s="18"/>
      <c r="E236" s="19"/>
      <c r="F236" s="10"/>
    </row>
    <row r="237" spans="2:6" ht="12" customHeight="1">
      <c r="B237" s="7"/>
      <c r="C237" s="17">
        <v>230</v>
      </c>
      <c r="D237" s="18"/>
      <c r="E237" s="19"/>
      <c r="F237" s="10"/>
    </row>
    <row r="238" spans="2:6" ht="12" customHeight="1">
      <c r="B238" s="7"/>
      <c r="C238" s="17">
        <v>231</v>
      </c>
      <c r="D238" s="18"/>
      <c r="E238" s="19"/>
      <c r="F238" s="10"/>
    </row>
    <row r="239" spans="2:6" ht="12" customHeight="1">
      <c r="B239" s="7"/>
      <c r="C239" s="17">
        <v>232</v>
      </c>
      <c r="D239" s="18"/>
      <c r="E239" s="19"/>
      <c r="F239" s="10"/>
    </row>
    <row r="240" spans="2:6" ht="12" customHeight="1">
      <c r="B240" s="7"/>
      <c r="C240" s="17">
        <v>233</v>
      </c>
      <c r="D240" s="18"/>
      <c r="E240" s="19"/>
      <c r="F240" s="10"/>
    </row>
    <row r="241" spans="2:6" ht="12" customHeight="1">
      <c r="B241" s="7"/>
      <c r="C241" s="17">
        <v>234</v>
      </c>
      <c r="D241" s="18"/>
      <c r="E241" s="19"/>
      <c r="F241" s="10"/>
    </row>
    <row r="242" spans="2:6" ht="12" customHeight="1">
      <c r="B242" s="7"/>
      <c r="C242" s="17">
        <v>235</v>
      </c>
      <c r="D242" s="18"/>
      <c r="E242" s="19"/>
      <c r="F242" s="10"/>
    </row>
    <row r="243" spans="2:6" ht="12" customHeight="1">
      <c r="B243" s="7"/>
      <c r="C243" s="17">
        <v>236</v>
      </c>
      <c r="D243" s="18"/>
      <c r="E243" s="19"/>
      <c r="F243" s="10"/>
    </row>
    <row r="244" spans="2:6" ht="12" customHeight="1">
      <c r="B244" s="7"/>
      <c r="C244" s="17">
        <v>237</v>
      </c>
      <c r="D244" s="18"/>
      <c r="E244" s="19"/>
      <c r="F244" s="10"/>
    </row>
    <row r="245" spans="2:6" ht="12" customHeight="1">
      <c r="B245" s="7"/>
      <c r="C245" s="17">
        <v>238</v>
      </c>
      <c r="D245" s="18"/>
      <c r="E245" s="19"/>
      <c r="F245" s="10"/>
    </row>
    <row r="246" spans="2:6" ht="12" customHeight="1">
      <c r="B246" s="7"/>
      <c r="C246" s="17">
        <v>239</v>
      </c>
      <c r="D246" s="18"/>
      <c r="E246" s="19"/>
      <c r="F246" s="10"/>
    </row>
    <row r="247" spans="2:6" ht="12" customHeight="1">
      <c r="B247" s="7"/>
      <c r="C247" s="17">
        <v>240</v>
      </c>
      <c r="D247" s="18"/>
      <c r="E247" s="19"/>
      <c r="F247" s="10"/>
    </row>
    <row r="248" spans="2:6" ht="12" customHeight="1">
      <c r="B248" s="7"/>
      <c r="C248" s="17">
        <v>241</v>
      </c>
      <c r="D248" s="18"/>
      <c r="E248" s="19"/>
      <c r="F248" s="10"/>
    </row>
    <row r="249" spans="2:6" ht="12" customHeight="1">
      <c r="B249" s="7"/>
      <c r="C249" s="17">
        <v>242</v>
      </c>
      <c r="D249" s="18"/>
      <c r="E249" s="19"/>
      <c r="F249" s="10"/>
    </row>
    <row r="250" spans="2:6" ht="12" customHeight="1">
      <c r="B250" s="7"/>
      <c r="C250" s="17">
        <v>243</v>
      </c>
      <c r="D250" s="18"/>
      <c r="E250" s="19"/>
      <c r="F250" s="10"/>
    </row>
    <row r="251" spans="2:6" ht="12" customHeight="1">
      <c r="B251" s="7"/>
      <c r="C251" s="17">
        <v>244</v>
      </c>
      <c r="D251" s="18"/>
      <c r="E251" s="19"/>
      <c r="F251" s="10"/>
    </row>
    <row r="252" spans="2:6" ht="12" customHeight="1">
      <c r="B252" s="7"/>
      <c r="C252" s="17">
        <v>245</v>
      </c>
      <c r="D252" s="18"/>
      <c r="E252" s="19"/>
      <c r="F252" s="10"/>
    </row>
    <row r="253" spans="2:6" ht="12" customHeight="1">
      <c r="B253" s="7"/>
      <c r="C253" s="17">
        <v>246</v>
      </c>
      <c r="D253" s="18"/>
      <c r="E253" s="19"/>
      <c r="F253" s="10"/>
    </row>
    <row r="254" spans="2:6" ht="12" customHeight="1">
      <c r="B254" s="7"/>
      <c r="C254" s="17">
        <v>247</v>
      </c>
      <c r="D254" s="18"/>
      <c r="E254" s="19"/>
      <c r="F254" s="10"/>
    </row>
    <row r="255" spans="2:6" ht="12" customHeight="1">
      <c r="B255" s="7"/>
      <c r="C255" s="17">
        <v>248</v>
      </c>
      <c r="D255" s="18"/>
      <c r="E255" s="19"/>
      <c r="F255" s="10"/>
    </row>
    <row r="256" spans="2:6" ht="12" customHeight="1">
      <c r="B256" s="7"/>
      <c r="C256" s="17">
        <v>249</v>
      </c>
      <c r="D256" s="18"/>
      <c r="E256" s="19"/>
      <c r="F256" s="10"/>
    </row>
    <row r="257" spans="2:6" ht="12" customHeight="1">
      <c r="B257" s="7"/>
      <c r="C257" s="17">
        <v>250</v>
      </c>
      <c r="D257" s="18"/>
      <c r="E257" s="19"/>
      <c r="F257" s="10"/>
    </row>
    <row r="258" spans="2:6" ht="12" customHeight="1">
      <c r="B258" s="7"/>
      <c r="C258" s="17">
        <v>251</v>
      </c>
      <c r="D258" s="18"/>
      <c r="E258" s="19"/>
      <c r="F258" s="10"/>
    </row>
    <row r="259" spans="2:6" ht="12" customHeight="1">
      <c r="B259" s="7"/>
      <c r="C259" s="17">
        <v>252</v>
      </c>
      <c r="D259" s="18"/>
      <c r="E259" s="19"/>
      <c r="F259" s="10"/>
    </row>
    <row r="260" spans="2:6" ht="12" customHeight="1">
      <c r="B260" s="7"/>
      <c r="C260" s="17">
        <v>253</v>
      </c>
      <c r="D260" s="18"/>
      <c r="E260" s="19"/>
      <c r="F260" s="10"/>
    </row>
    <row r="261" spans="2:6" ht="12" customHeight="1">
      <c r="B261" s="7"/>
      <c r="C261" s="17">
        <v>254</v>
      </c>
      <c r="D261" s="18"/>
      <c r="E261" s="19"/>
      <c r="F261" s="10"/>
    </row>
    <row r="262" spans="2:6" ht="12" customHeight="1">
      <c r="B262" s="7"/>
      <c r="C262" s="17">
        <v>255</v>
      </c>
      <c r="D262" s="18"/>
      <c r="E262" s="19"/>
      <c r="F262" s="10"/>
    </row>
    <row r="263" spans="2:6" ht="12" customHeight="1">
      <c r="B263" s="7"/>
      <c r="C263" s="17">
        <v>256</v>
      </c>
      <c r="D263" s="18"/>
      <c r="E263" s="19"/>
      <c r="F263" s="10"/>
    </row>
    <row r="264" spans="2:6" ht="12" customHeight="1">
      <c r="B264" s="7"/>
      <c r="C264" s="17">
        <v>257</v>
      </c>
      <c r="D264" s="18"/>
      <c r="E264" s="19"/>
      <c r="F264" s="10"/>
    </row>
    <row r="265" spans="2:6" ht="12" customHeight="1">
      <c r="B265" s="7"/>
      <c r="C265" s="17">
        <v>258</v>
      </c>
      <c r="D265" s="18"/>
      <c r="E265" s="19"/>
      <c r="F265" s="10"/>
    </row>
    <row r="266" spans="2:6" ht="12" customHeight="1">
      <c r="B266" s="7"/>
      <c r="C266" s="17">
        <v>259</v>
      </c>
      <c r="D266" s="18"/>
      <c r="E266" s="19"/>
      <c r="F266" s="10"/>
    </row>
    <row r="267" spans="2:6" ht="12" customHeight="1">
      <c r="B267" s="7"/>
      <c r="C267" s="17">
        <v>260</v>
      </c>
      <c r="D267" s="18"/>
      <c r="E267" s="19"/>
      <c r="F267" s="10"/>
    </row>
    <row r="268" spans="2:6" ht="12" customHeight="1">
      <c r="B268" s="7"/>
      <c r="C268" s="17">
        <v>261</v>
      </c>
      <c r="D268" s="18"/>
      <c r="E268" s="19"/>
      <c r="F268" s="10"/>
    </row>
    <row r="269" spans="2:6" ht="12" customHeight="1">
      <c r="B269" s="7"/>
      <c r="C269" s="17">
        <v>262</v>
      </c>
      <c r="D269" s="18"/>
      <c r="E269" s="19"/>
      <c r="F269" s="10"/>
    </row>
    <row r="270" spans="2:6" ht="12" customHeight="1">
      <c r="B270" s="7"/>
      <c r="C270" s="17">
        <v>263</v>
      </c>
      <c r="D270" s="18"/>
      <c r="E270" s="19"/>
      <c r="F270" s="10"/>
    </row>
    <row r="271" spans="2:6" ht="12" customHeight="1">
      <c r="B271" s="7"/>
      <c r="C271" s="17">
        <v>264</v>
      </c>
      <c r="D271" s="18"/>
      <c r="E271" s="19"/>
      <c r="F271" s="10"/>
    </row>
    <row r="272" spans="2:6" ht="12" customHeight="1">
      <c r="B272" s="7"/>
      <c r="C272" s="17">
        <v>265</v>
      </c>
      <c r="D272" s="18"/>
      <c r="E272" s="19"/>
      <c r="F272" s="10"/>
    </row>
    <row r="273" spans="2:6" ht="12" customHeight="1">
      <c r="B273" s="7"/>
      <c r="C273" s="17">
        <v>266</v>
      </c>
      <c r="D273" s="18"/>
      <c r="E273" s="19"/>
      <c r="F273" s="10"/>
    </row>
    <row r="274" spans="2:6" ht="12" customHeight="1">
      <c r="B274" s="7"/>
      <c r="C274" s="17">
        <v>267</v>
      </c>
      <c r="D274" s="18"/>
      <c r="E274" s="19"/>
      <c r="F274" s="10"/>
    </row>
    <row r="275" spans="2:6" ht="12" customHeight="1">
      <c r="B275" s="7"/>
      <c r="C275" s="17">
        <v>268</v>
      </c>
      <c r="D275" s="18"/>
      <c r="E275" s="19"/>
      <c r="F275" s="10"/>
    </row>
    <row r="276" spans="2:6" ht="12" customHeight="1">
      <c r="B276" s="7"/>
      <c r="C276" s="17">
        <v>269</v>
      </c>
      <c r="D276" s="18"/>
      <c r="E276" s="19"/>
      <c r="F276" s="10"/>
    </row>
    <row r="277" spans="2:6" ht="12" customHeight="1">
      <c r="B277" s="7"/>
      <c r="C277" s="17">
        <v>270</v>
      </c>
      <c r="D277" s="18"/>
      <c r="E277" s="19"/>
      <c r="F277" s="10"/>
    </row>
    <row r="278" spans="2:6" ht="12" customHeight="1">
      <c r="B278" s="7"/>
      <c r="C278" s="17">
        <v>271</v>
      </c>
      <c r="D278" s="18"/>
      <c r="E278" s="19"/>
      <c r="F278" s="10"/>
    </row>
    <row r="279" spans="2:6" ht="12" customHeight="1">
      <c r="B279" s="7"/>
      <c r="C279" s="17">
        <v>272</v>
      </c>
      <c r="D279" s="18"/>
      <c r="E279" s="19"/>
      <c r="F279" s="10"/>
    </row>
    <row r="280" spans="2:6" ht="12" customHeight="1">
      <c r="B280" s="7"/>
      <c r="C280" s="17">
        <v>273</v>
      </c>
      <c r="D280" s="18"/>
      <c r="E280" s="19"/>
      <c r="F280" s="10"/>
    </row>
    <row r="281" spans="2:6" ht="12" customHeight="1">
      <c r="B281" s="7"/>
      <c r="C281" s="17">
        <v>274</v>
      </c>
      <c r="D281" s="18"/>
      <c r="E281" s="19"/>
      <c r="F281" s="10"/>
    </row>
    <row r="282" spans="2:6" ht="12" customHeight="1">
      <c r="B282" s="7"/>
      <c r="C282" s="17">
        <v>275</v>
      </c>
      <c r="D282" s="18"/>
      <c r="E282" s="19"/>
      <c r="F282" s="10"/>
    </row>
    <row r="283" spans="2:6" ht="12" customHeight="1">
      <c r="B283" s="7"/>
      <c r="C283" s="17">
        <v>276</v>
      </c>
      <c r="D283" s="18"/>
      <c r="E283" s="19"/>
      <c r="F283" s="10"/>
    </row>
    <row r="284" spans="2:6" ht="12" customHeight="1">
      <c r="B284" s="7"/>
      <c r="C284" s="17">
        <v>277</v>
      </c>
      <c r="D284" s="18"/>
      <c r="E284" s="19"/>
      <c r="F284" s="10"/>
    </row>
    <row r="285" spans="2:6" ht="12" customHeight="1">
      <c r="B285" s="7"/>
      <c r="C285" s="17">
        <v>278</v>
      </c>
      <c r="D285" s="18"/>
      <c r="E285" s="19"/>
      <c r="F285" s="10"/>
    </row>
    <row r="286" spans="2:6" ht="12" customHeight="1">
      <c r="B286" s="7"/>
      <c r="C286" s="17">
        <v>279</v>
      </c>
      <c r="D286" s="18"/>
      <c r="E286" s="19"/>
      <c r="F286" s="10"/>
    </row>
    <row r="287" spans="2:6" ht="12" customHeight="1">
      <c r="B287" s="7"/>
      <c r="C287" s="17">
        <v>280</v>
      </c>
      <c r="D287" s="18"/>
      <c r="E287" s="19"/>
      <c r="F287" s="10"/>
    </row>
    <row r="288" spans="2:6" ht="12" customHeight="1">
      <c r="B288" s="7"/>
      <c r="C288" s="17">
        <v>281</v>
      </c>
      <c r="D288" s="18"/>
      <c r="E288" s="19"/>
      <c r="F288" s="10"/>
    </row>
    <row r="289" spans="2:6" ht="12" customHeight="1">
      <c r="B289" s="7"/>
      <c r="C289" s="17">
        <v>282</v>
      </c>
      <c r="D289" s="18"/>
      <c r="E289" s="19"/>
      <c r="F289" s="10"/>
    </row>
    <row r="290" spans="2:6" ht="12" customHeight="1">
      <c r="B290" s="7"/>
      <c r="C290" s="17">
        <v>283</v>
      </c>
      <c r="D290" s="18"/>
      <c r="E290" s="19"/>
      <c r="F290" s="10"/>
    </row>
    <row r="291" spans="2:6" ht="12" customHeight="1">
      <c r="B291" s="7"/>
      <c r="C291" s="17">
        <v>284</v>
      </c>
      <c r="D291" s="18"/>
      <c r="E291" s="19"/>
      <c r="F291" s="10"/>
    </row>
    <row r="292" spans="2:6" ht="12" customHeight="1">
      <c r="B292" s="7"/>
      <c r="C292" s="17">
        <v>285</v>
      </c>
      <c r="D292" s="18"/>
      <c r="E292" s="19"/>
      <c r="F292" s="10"/>
    </row>
    <row r="293" spans="2:6" ht="12" customHeight="1">
      <c r="B293" s="7"/>
      <c r="C293" s="17">
        <v>286</v>
      </c>
      <c r="D293" s="18"/>
      <c r="E293" s="19"/>
      <c r="F293" s="10"/>
    </row>
    <row r="294" spans="2:6" ht="12" customHeight="1">
      <c r="B294" s="7"/>
      <c r="C294" s="17">
        <v>287</v>
      </c>
      <c r="D294" s="18"/>
      <c r="E294" s="19"/>
      <c r="F294" s="10"/>
    </row>
    <row r="295" spans="2:6" ht="12" customHeight="1">
      <c r="B295" s="7"/>
      <c r="C295" s="17">
        <v>288</v>
      </c>
      <c r="D295" s="18"/>
      <c r="E295" s="19"/>
      <c r="F295" s="10"/>
    </row>
    <row r="296" spans="2:6" ht="12" customHeight="1">
      <c r="B296" s="7"/>
      <c r="C296" s="17">
        <v>289</v>
      </c>
      <c r="D296" s="18"/>
      <c r="E296" s="19"/>
      <c r="F296" s="10"/>
    </row>
    <row r="297" spans="2:6" ht="12" customHeight="1">
      <c r="B297" s="7"/>
      <c r="C297" s="17">
        <v>290</v>
      </c>
      <c r="D297" s="18"/>
      <c r="E297" s="19"/>
      <c r="F297" s="10"/>
    </row>
    <row r="298" spans="2:6" ht="12" customHeight="1">
      <c r="B298" s="7"/>
      <c r="C298" s="17">
        <v>291</v>
      </c>
      <c r="D298" s="18"/>
      <c r="E298" s="19"/>
      <c r="F298" s="10"/>
    </row>
    <row r="299" spans="2:6" ht="12" customHeight="1">
      <c r="B299" s="7"/>
      <c r="C299" s="17">
        <v>292</v>
      </c>
      <c r="D299" s="18"/>
      <c r="E299" s="19"/>
      <c r="F299" s="10"/>
    </row>
    <row r="300" spans="2:6" ht="12" customHeight="1">
      <c r="B300" s="7"/>
      <c r="C300" s="17">
        <v>293</v>
      </c>
      <c r="D300" s="18"/>
      <c r="E300" s="19"/>
      <c r="F300" s="10"/>
    </row>
    <row r="301" spans="2:6" ht="12" customHeight="1">
      <c r="B301" s="7"/>
      <c r="C301" s="17">
        <v>294</v>
      </c>
      <c r="D301" s="18"/>
      <c r="E301" s="19"/>
      <c r="F301" s="10"/>
    </row>
    <row r="302" spans="2:6" ht="12" customHeight="1">
      <c r="B302" s="7"/>
      <c r="C302" s="17">
        <v>295</v>
      </c>
      <c r="D302" s="18"/>
      <c r="E302" s="19"/>
      <c r="F302" s="10"/>
    </row>
    <row r="303" spans="2:6" ht="12" customHeight="1">
      <c r="B303" s="7"/>
      <c r="C303" s="17">
        <v>296</v>
      </c>
      <c r="D303" s="18"/>
      <c r="E303" s="19"/>
      <c r="F303" s="10"/>
    </row>
    <row r="304" spans="2:6" ht="12" customHeight="1">
      <c r="B304" s="7"/>
      <c r="C304" s="17">
        <v>297</v>
      </c>
      <c r="D304" s="18"/>
      <c r="E304" s="19"/>
      <c r="F304" s="10"/>
    </row>
    <row r="305" spans="2:6" ht="12" customHeight="1">
      <c r="B305" s="7"/>
      <c r="C305" s="17">
        <v>298</v>
      </c>
      <c r="D305" s="18"/>
      <c r="E305" s="19"/>
      <c r="F305" s="10"/>
    </row>
    <row r="306" spans="2:6" ht="12" customHeight="1">
      <c r="B306" s="7"/>
      <c r="C306" s="17">
        <v>299</v>
      </c>
      <c r="D306" s="18"/>
      <c r="E306" s="19"/>
      <c r="F306" s="10"/>
    </row>
    <row r="307" spans="2:6" ht="12" customHeight="1">
      <c r="B307" s="7"/>
      <c r="C307" s="17">
        <v>300</v>
      </c>
      <c r="D307" s="18"/>
      <c r="E307" s="19"/>
      <c r="F307" s="10"/>
    </row>
    <row r="308" spans="2:6" ht="12" customHeight="1">
      <c r="B308" s="7"/>
      <c r="C308" s="17">
        <v>301</v>
      </c>
      <c r="D308" s="18"/>
      <c r="E308" s="19"/>
      <c r="F308" s="10"/>
    </row>
    <row r="309" spans="2:6" ht="12" customHeight="1">
      <c r="B309" s="7"/>
      <c r="C309" s="17">
        <v>302</v>
      </c>
      <c r="D309" s="18"/>
      <c r="E309" s="19"/>
      <c r="F309" s="10"/>
    </row>
    <row r="310" spans="2:6" ht="12" customHeight="1">
      <c r="B310" s="7"/>
      <c r="C310" s="17">
        <v>303</v>
      </c>
      <c r="D310" s="18"/>
      <c r="E310" s="19"/>
      <c r="F310" s="10"/>
    </row>
    <row r="311" spans="2:6" ht="12" customHeight="1">
      <c r="B311" s="7"/>
      <c r="C311" s="17">
        <v>304</v>
      </c>
      <c r="D311" s="18"/>
      <c r="E311" s="19"/>
      <c r="F311" s="10"/>
    </row>
    <row r="312" spans="2:6" ht="12" customHeight="1">
      <c r="B312" s="7"/>
      <c r="C312" s="17">
        <v>305</v>
      </c>
      <c r="D312" s="18"/>
      <c r="E312" s="19"/>
      <c r="F312" s="10"/>
    </row>
    <row r="313" spans="2:6" ht="12" customHeight="1">
      <c r="B313" s="7"/>
      <c r="C313" s="17">
        <v>306</v>
      </c>
      <c r="D313" s="18"/>
      <c r="E313" s="19"/>
      <c r="F313" s="10"/>
    </row>
    <row r="314" spans="2:6" ht="12" customHeight="1">
      <c r="B314" s="7"/>
      <c r="C314" s="17">
        <v>307</v>
      </c>
      <c r="D314" s="18"/>
      <c r="E314" s="19"/>
      <c r="F314" s="10"/>
    </row>
    <row r="315" spans="2:6" ht="12" customHeight="1">
      <c r="B315" s="7"/>
      <c r="C315" s="17">
        <v>308</v>
      </c>
      <c r="D315" s="20"/>
      <c r="E315" s="21"/>
      <c r="F315" s="10"/>
    </row>
    <row r="316" spans="2:6" ht="12" customHeight="1" thickBot="1">
      <c r="B316" s="22"/>
      <c r="C316" s="23"/>
      <c r="D316" s="24"/>
      <c r="E316" s="23"/>
      <c r="F316" s="25"/>
    </row>
    <row r="317" ht="12" customHeight="1">
      <c r="D317" s="2"/>
    </row>
    <row r="318" ht="12" customHeight="1">
      <c r="D318" s="2"/>
    </row>
    <row r="319" ht="12" customHeight="1">
      <c r="D319" s="2"/>
    </row>
    <row r="320" ht="12" customHeight="1">
      <c r="D320" s="2"/>
    </row>
    <row r="321" ht="12" customHeight="1">
      <c r="D321" s="2"/>
    </row>
    <row r="322" ht="12" customHeight="1">
      <c r="D322" s="2"/>
    </row>
    <row r="323" ht="12" customHeight="1">
      <c r="D323" s="2"/>
    </row>
    <row r="324" ht="12" customHeight="1">
      <c r="D324" s="2"/>
    </row>
    <row r="325" ht="12" customHeight="1">
      <c r="D325" s="2"/>
    </row>
    <row r="326" ht="12" customHeight="1">
      <c r="D326" s="2"/>
    </row>
    <row r="327" ht="12" customHeight="1">
      <c r="D327" s="2"/>
    </row>
    <row r="328" ht="12" customHeight="1">
      <c r="D328" s="2"/>
    </row>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sheetData>
  <sheetProtection formatCells="0" formatColumns="0" formatRows="0" insertColumns="0" insertRows="0" insertHyperlinks="0" deleteColumns="0" deleteRows="0" sort="0" autoFilter="0" pivotTables="0"/>
  <mergeCells count="15">
    <mergeCell ref="I12:L12"/>
    <mergeCell ref="I14:K14"/>
    <mergeCell ref="M12:O12"/>
    <mergeCell ref="L14:N14"/>
    <mergeCell ref="I26:Q26"/>
    <mergeCell ref="O16:V16"/>
    <mergeCell ref="I18:V18"/>
    <mergeCell ref="I20:P20"/>
    <mergeCell ref="I24:S24"/>
    <mergeCell ref="B1:X1"/>
    <mergeCell ref="C5:E5"/>
    <mergeCell ref="I3:W3"/>
    <mergeCell ref="M6:V6"/>
    <mergeCell ref="O8:Q8"/>
    <mergeCell ref="Q10:V10"/>
  </mergeCells>
  <dataValidations count="4">
    <dataValidation type="list" allowBlank="1" showInputMessage="1" showErrorMessage="1" sqref="L14:N14 U22 M12:O12">
      <formula1>$AH$30:$AH$31</formula1>
    </dataValidation>
    <dataValidation type="list" allowBlank="1" showInputMessage="1" showErrorMessage="1" sqref="M6:V6">
      <formula1>$D$8:$D$315</formula1>
    </dataValidation>
    <dataValidation type="list" allowBlank="1" showInputMessage="1" showErrorMessage="1" sqref="Q10:V10">
      <formula1>$AH$5:$AH$16</formula1>
    </dataValidation>
    <dataValidation type="list" allowBlank="1" showInputMessage="1" showErrorMessage="1" sqref="O16:V16">
      <formula1>$AH$25:$AH$28</formula1>
    </dataValidation>
  </dataValidations>
  <printOptions/>
  <pageMargins left="0.75" right="0.75" top="1" bottom="1" header="0.5" footer="0.5"/>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57"/>
  </sheetPr>
  <dimension ref="A1:BE274"/>
  <sheetViews>
    <sheetView zoomScaleSheetLayoutView="100"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9" customWidth="1"/>
    <col min="3" max="3" width="11.00390625" style="49" customWidth="1"/>
    <col min="4" max="4" width="11.375" style="49" customWidth="1"/>
    <col min="5" max="5" width="12.625" style="49" customWidth="1"/>
    <col min="6" max="7" width="2.75390625" style="49" customWidth="1"/>
    <col min="8" max="8" width="12.00390625" style="49" customWidth="1"/>
    <col min="9" max="9" width="15.25390625" style="49" customWidth="1"/>
    <col min="10" max="10" width="11.75390625" style="49" customWidth="1"/>
    <col min="11" max="11" width="13.25390625" style="49" customWidth="1"/>
    <col min="12" max="12" width="13.125" style="49" customWidth="1"/>
    <col min="13" max="13" width="8.75390625" style="345" customWidth="1"/>
    <col min="14" max="14" width="2.75390625" style="229" customWidth="1"/>
    <col min="15" max="15" width="2.75390625" style="236" customWidth="1"/>
    <col min="16" max="16" width="2.75390625" style="313" hidden="1" customWidth="1"/>
    <col min="17" max="20" width="2.75390625" style="432" hidden="1" customWidth="1"/>
    <col min="21" max="23" width="8.75390625" style="313" hidden="1" customWidth="1"/>
    <col min="24" max="24" width="11.75390625" style="313" hidden="1" customWidth="1"/>
    <col min="25" max="28" width="8.75390625" style="313" hidden="1" customWidth="1"/>
    <col min="29" max="31" width="8.75390625" style="236" hidden="1" customWidth="1"/>
    <col min="32" max="33" width="2.75390625" style="236" customWidth="1"/>
    <col min="34" max="38" width="2.75390625" style="229" customWidth="1"/>
    <col min="39" max="57" width="2.75390625" style="227" customWidth="1"/>
    <col min="58" max="16384" width="2.75390625" style="236" customWidth="1"/>
  </cols>
  <sheetData>
    <row r="1" spans="2:13" ht="15" customHeight="1">
      <c r="B1" s="456" t="s">
        <v>177</v>
      </c>
      <c r="C1" s="456"/>
      <c r="D1" s="456"/>
      <c r="E1" s="456"/>
      <c r="F1" s="456"/>
      <c r="G1" s="456"/>
      <c r="H1" s="456"/>
      <c r="I1" s="456"/>
      <c r="J1" s="456"/>
      <c r="K1" s="456"/>
      <c r="L1" s="456"/>
      <c r="M1" s="456"/>
    </row>
    <row r="2" spans="1:26" ht="15" customHeight="1" thickBot="1">
      <c r="A2" s="50"/>
      <c r="B2" s="457"/>
      <c r="C2" s="457"/>
      <c r="D2" s="457"/>
      <c r="E2" s="457"/>
      <c r="F2" s="457"/>
      <c r="G2" s="457"/>
      <c r="H2" s="457"/>
      <c r="I2" s="457"/>
      <c r="J2" s="457"/>
      <c r="K2" s="457"/>
      <c r="L2" s="457"/>
      <c r="M2" s="457"/>
      <c r="N2" s="392"/>
      <c r="O2" s="346"/>
      <c r="P2" s="347"/>
      <c r="Q2" s="433"/>
      <c r="R2" s="433"/>
      <c r="S2" s="433"/>
      <c r="T2" s="433"/>
      <c r="U2" s="347"/>
      <c r="V2" s="520"/>
      <c r="W2" s="520"/>
      <c r="X2" s="520"/>
      <c r="Y2" s="520"/>
      <c r="Z2" s="347"/>
    </row>
    <row r="3" spans="1:28" ht="12" customHeight="1">
      <c r="A3" s="50"/>
      <c r="B3" s="52"/>
      <c r="C3" s="521"/>
      <c r="D3" s="522"/>
      <c r="E3" s="522"/>
      <c r="F3" s="522"/>
      <c r="G3" s="522"/>
      <c r="H3" s="522"/>
      <c r="I3" s="522"/>
      <c r="J3" s="522"/>
      <c r="K3" s="522"/>
      <c r="L3" s="522"/>
      <c r="M3" s="522"/>
      <c r="N3" s="393"/>
      <c r="O3" s="313"/>
      <c r="P3" s="348">
        <f>H10</f>
        <v>44270</v>
      </c>
      <c r="Q3" s="434">
        <f>DATE(YEAR(P3),MONTH(P3),DAY(P3)+1)</f>
        <v>44271</v>
      </c>
      <c r="V3" s="497"/>
      <c r="W3" s="497"/>
      <c r="X3" s="497"/>
      <c r="Y3" s="497"/>
      <c r="Z3" s="349"/>
      <c r="AA3" s="350"/>
      <c r="AB3" s="350"/>
    </row>
    <row r="4" spans="2:28" ht="15" customHeight="1">
      <c r="B4" s="53"/>
      <c r="C4" s="523" t="s">
        <v>83</v>
      </c>
      <c r="D4" s="523"/>
      <c r="E4" s="523"/>
      <c r="F4" s="523"/>
      <c r="G4" s="523"/>
      <c r="H4" s="523"/>
      <c r="I4" s="523"/>
      <c r="J4" s="523"/>
      <c r="K4" s="72">
        <f>I13</f>
        <v>44264</v>
      </c>
      <c r="L4" s="61"/>
      <c r="M4" s="43"/>
      <c r="N4" s="394"/>
      <c r="O4" s="351"/>
      <c r="P4" s="352">
        <f>DATE(YEAR(Q3),MONTH(Q3)+6,DAY(Q3))</f>
        <v>44455</v>
      </c>
      <c r="Q4" s="435"/>
      <c r="R4" s="435"/>
      <c r="S4" s="435"/>
      <c r="T4" s="435"/>
      <c r="U4" s="351"/>
      <c r="V4" s="497"/>
      <c r="W4" s="497"/>
      <c r="X4" s="497"/>
      <c r="Y4" s="497"/>
      <c r="Z4" s="350"/>
      <c r="AA4" s="350"/>
      <c r="AB4" s="350"/>
    </row>
    <row r="5" spans="2:28" ht="15" customHeight="1">
      <c r="B5" s="53"/>
      <c r="C5" s="68" t="s">
        <v>85</v>
      </c>
      <c r="D5" s="62"/>
      <c r="E5" s="62"/>
      <c r="F5" s="62"/>
      <c r="G5" s="62"/>
      <c r="H5" s="62"/>
      <c r="I5" s="62"/>
      <c r="J5" s="62"/>
      <c r="K5" s="61"/>
      <c r="L5" s="61"/>
      <c r="M5" s="43"/>
      <c r="N5" s="394"/>
      <c r="O5" s="351"/>
      <c r="P5" s="351"/>
      <c r="Q5" s="435"/>
      <c r="R5" s="435"/>
      <c r="S5" s="435"/>
      <c r="T5" s="435"/>
      <c r="U5" s="351"/>
      <c r="V5" s="497"/>
      <c r="W5" s="497"/>
      <c r="X5" s="497"/>
      <c r="Y5" s="497"/>
      <c r="Z5" s="350"/>
      <c r="AA5" s="350"/>
      <c r="AB5" s="350"/>
    </row>
    <row r="6" spans="2:28" ht="15" customHeight="1">
      <c r="B6" s="53"/>
      <c r="C6" s="33" t="s">
        <v>10</v>
      </c>
      <c r="D6" s="33"/>
      <c r="E6" s="524" t="str">
        <f>'Исходные данные'!$M$6</f>
        <v>Короленко Елена Владимировна</v>
      </c>
      <c r="F6" s="524"/>
      <c r="G6" s="524"/>
      <c r="H6" s="524"/>
      <c r="I6" s="524"/>
      <c r="J6" s="524"/>
      <c r="K6" s="33"/>
      <c r="L6" s="33"/>
      <c r="M6" s="43"/>
      <c r="N6" s="394"/>
      <c r="O6" s="351"/>
      <c r="P6" s="351"/>
      <c r="Q6" s="435"/>
      <c r="R6" s="435"/>
      <c r="S6" s="435"/>
      <c r="T6" s="435"/>
      <c r="U6" s="351"/>
      <c r="V6" s="497"/>
      <c r="W6" s="497"/>
      <c r="X6" s="497"/>
      <c r="Y6" s="497"/>
      <c r="Z6" s="350"/>
      <c r="AA6" s="350"/>
      <c r="AB6" s="350"/>
    </row>
    <row r="7" spans="2:28" ht="15" customHeight="1">
      <c r="B7" s="53"/>
      <c r="C7" s="33" t="s">
        <v>9</v>
      </c>
      <c r="D7" s="33"/>
      <c r="E7" s="69">
        <f>'Исходные данные'!$O$8</f>
        <v>48</v>
      </c>
      <c r="F7" s="64"/>
      <c r="G7" s="64"/>
      <c r="H7" s="64"/>
      <c r="I7" s="64"/>
      <c r="J7" s="64"/>
      <c r="K7" s="64"/>
      <c r="L7" s="33"/>
      <c r="M7" s="43"/>
      <c r="N7" s="394"/>
      <c r="O7" s="351"/>
      <c r="P7" s="351"/>
      <c r="Q7" s="435"/>
      <c r="R7" s="435"/>
      <c r="S7" s="435"/>
      <c r="T7" s="435"/>
      <c r="U7" s="351"/>
      <c r="V7" s="497"/>
      <c r="W7" s="497"/>
      <c r="X7" s="497"/>
      <c r="Y7" s="497"/>
      <c r="Z7" s="350"/>
      <c r="AA7" s="350"/>
      <c r="AB7" s="350"/>
    </row>
    <row r="8" spans="2:26" ht="15" customHeight="1">
      <c r="B8" s="53"/>
      <c r="C8" s="510" t="s">
        <v>11</v>
      </c>
      <c r="D8" s="510"/>
      <c r="E8" s="511" t="str">
        <f>'Исходные данные'!$Q$10</f>
        <v>Заболевание общее</v>
      </c>
      <c r="F8" s="511"/>
      <c r="G8" s="511"/>
      <c r="H8" s="511"/>
      <c r="I8" s="511"/>
      <c r="J8" s="511"/>
      <c r="K8" s="65"/>
      <c r="L8" s="34"/>
      <c r="M8" s="43"/>
      <c r="N8" s="395"/>
      <c r="O8" s="353"/>
      <c r="P8" s="353"/>
      <c r="Q8" s="436"/>
      <c r="R8" s="436"/>
      <c r="S8" s="436"/>
      <c r="T8" s="436"/>
      <c r="U8" s="353"/>
      <c r="V8" s="354" t="str">
        <f>IF($C$21="","",VLOOKUP($C$21,календарь!$C$3:$E$14,3,0))</f>
        <v>Август</v>
      </c>
      <c r="W8" s="313">
        <f>IF(D21=0,"",IF(C21="январь",(D21-1),D21))</f>
        <v>2020</v>
      </c>
      <c r="X8" s="355">
        <f>IF(OR($L$30=0,Z8=""),0,VLOOKUP(Z8,календарь!$F$3:$H$63,2,0))</f>
        <v>1276.4</v>
      </c>
      <c r="Y8" s="356">
        <f>IF($D$21&lt;2015,X8*4,X8*5)</f>
        <v>6382</v>
      </c>
      <c r="Z8" s="357" t="str">
        <f aca="true" t="shared" si="0" ref="Z8:Z13">CONCATENATE(V8,W8)</f>
        <v>Август2020</v>
      </c>
    </row>
    <row r="9" spans="2:26" ht="15" customHeight="1">
      <c r="B9" s="53"/>
      <c r="C9" s="510" t="s">
        <v>63</v>
      </c>
      <c r="D9" s="510"/>
      <c r="E9" s="66" t="s">
        <v>64</v>
      </c>
      <c r="F9" s="458" t="s">
        <v>173</v>
      </c>
      <c r="G9" s="458"/>
      <c r="H9" s="66" t="s">
        <v>65</v>
      </c>
      <c r="I9" s="116">
        <v>2536456</v>
      </c>
      <c r="J9" s="33"/>
      <c r="K9" s="33"/>
      <c r="L9" s="33"/>
      <c r="M9" s="43"/>
      <c r="N9" s="395"/>
      <c r="O9" s="353"/>
      <c r="P9" s="353"/>
      <c r="Q9" s="436"/>
      <c r="R9" s="436"/>
      <c r="S9" s="436"/>
      <c r="T9" s="436"/>
      <c r="U9" s="353"/>
      <c r="V9" s="354" t="str">
        <f>IF($C$34="","",VLOOKUP($C$34,календарь!$C$3:$E$14,3,0))</f>
        <v>Сентябрь</v>
      </c>
      <c r="W9" s="313">
        <f>IF(D34=0,"",IF(C34="январь",(D34-1),D34))</f>
        <v>2020</v>
      </c>
      <c r="X9" s="355">
        <f>IF(OR($L$43=0,Z9=""),0,VLOOKUP(Z9,календарь!$F$3:$H$63,2,0))</f>
        <v>1264.5</v>
      </c>
      <c r="Y9" s="356">
        <f>IF($D$34&lt;2015,X9*4,X9*5)</f>
        <v>6322.5</v>
      </c>
      <c r="Z9" s="357" t="str">
        <f t="shared" si="0"/>
        <v>Сентябрь2020</v>
      </c>
    </row>
    <row r="10" spans="2:37" ht="15" customHeight="1">
      <c r="B10" s="53"/>
      <c r="C10" s="47" t="s">
        <v>66</v>
      </c>
      <c r="D10" s="67"/>
      <c r="E10" s="70">
        <f>IF('Исходные данные'!$U$22="нет",'Исходные данные'!$T$24,'Исходные данные'!$T$28)</f>
        <v>44264</v>
      </c>
      <c r="F10" s="512" t="s">
        <v>84</v>
      </c>
      <c r="G10" s="512"/>
      <c r="H10" s="137">
        <f>IF('Исходные данные'!$U$22="нет",'Исходные данные'!$V$24,'Исходные данные'!$V$28)</f>
        <v>44270</v>
      </c>
      <c r="I10" s="64"/>
      <c r="J10" s="64"/>
      <c r="K10" s="38"/>
      <c r="L10" s="33"/>
      <c r="M10" s="43"/>
      <c r="N10" s="395"/>
      <c r="O10" s="353"/>
      <c r="P10" s="353"/>
      <c r="Q10" s="436"/>
      <c r="R10" s="436"/>
      <c r="S10" s="436"/>
      <c r="T10" s="436"/>
      <c r="U10" s="353"/>
      <c r="V10" s="354" t="str">
        <f>IF($C$47="","",VLOOKUP($C$47,календарь!$C$3:$E$14,3,0))</f>
        <v>Октябрь</v>
      </c>
      <c r="W10" s="313">
        <f>IF(D47=0,"",IF(C47="январь",(D47-1),D47))</f>
        <v>2020</v>
      </c>
      <c r="X10" s="355">
        <f>IF(OR($L$56=0,Z10=""),0,VLOOKUP(Z10,календарь!$F$3:$H$63,2,0))</f>
        <v>1285</v>
      </c>
      <c r="Y10" s="356">
        <f>IF($D$47&lt;2015,X10*4,X10*5)</f>
        <v>6425</v>
      </c>
      <c r="Z10" s="357" t="str">
        <f t="shared" si="0"/>
        <v>Октябрь2020</v>
      </c>
      <c r="AK10" s="230"/>
    </row>
    <row r="11" spans="1:37" ht="15" customHeight="1">
      <c r="A11" s="50"/>
      <c r="B11" s="54"/>
      <c r="C11" s="513">
        <f>IF('Исходные данные'!$U$22="да","Начало нетрудоспособности","")</f>
      </c>
      <c r="D11" s="513"/>
      <c r="E11" s="226">
        <f>IF('Исходные данные'!U22="да",'Исходные данные'!T26,$E$10)</f>
        <v>44264</v>
      </c>
      <c r="F11" s="36"/>
      <c r="G11" s="37"/>
      <c r="H11" s="37"/>
      <c r="I11" s="38"/>
      <c r="J11" s="35"/>
      <c r="K11" s="35"/>
      <c r="L11" s="35"/>
      <c r="M11" s="43"/>
      <c r="N11" s="396"/>
      <c r="O11" s="313"/>
      <c r="V11" s="354" t="str">
        <f>IF($C$60="","",VLOOKUP($C$60,календарь!$C$3:$E$14,3,0))</f>
        <v>Ноябрь</v>
      </c>
      <c r="W11" s="313">
        <f>IF(D60=0,"",IF(C60="январь",(D60-1),D60))</f>
        <v>2020</v>
      </c>
      <c r="X11" s="355">
        <f>IF(OR($L$69=0,Z11=""),0,VLOOKUP(Z11,календарь!$F$3:$H$63,2,0))</f>
        <v>1300.5</v>
      </c>
      <c r="Y11" s="356">
        <f>IF($D$60&lt;2015,X11*4,X11*5)</f>
        <v>6502.5</v>
      </c>
      <c r="Z11" s="357" t="str">
        <f t="shared" si="0"/>
        <v>Ноябрь2020</v>
      </c>
      <c r="AK11" s="230"/>
    </row>
    <row r="12" spans="1:37" ht="15" customHeight="1">
      <c r="A12" s="50"/>
      <c r="B12" s="54"/>
      <c r="C12" s="67" t="s">
        <v>88</v>
      </c>
      <c r="D12" s="47"/>
      <c r="E12" s="225"/>
      <c r="F12" s="36"/>
      <c r="G12" s="37"/>
      <c r="H12" s="37"/>
      <c r="I12" s="38"/>
      <c r="J12" s="35"/>
      <c r="K12" s="35"/>
      <c r="L12" s="35"/>
      <c r="M12" s="43"/>
      <c r="N12" s="396"/>
      <c r="O12" s="313"/>
      <c r="V12" s="354" t="str">
        <f>IF($C$73="","",VLOOKUP($C$73,календарь!$C$3:$E$14,3,0))</f>
        <v>Декабрь</v>
      </c>
      <c r="W12" s="313">
        <f>IF(D73=0,"",IF(C73="январь",(D73-1),D73))</f>
        <v>2020</v>
      </c>
      <c r="X12" s="355">
        <f>IF(OR($L$82=0,Z12=""),0,VLOOKUP(Z12,календарь!$F$3:$H$63,2,0))</f>
        <v>1474.6</v>
      </c>
      <c r="Y12" s="356">
        <f>IF($D$73&lt;2015,X12*4,X12*5)</f>
        <v>7373</v>
      </c>
      <c r="Z12" s="357" t="str">
        <f t="shared" si="0"/>
        <v>Декабрь2020</v>
      </c>
      <c r="AK12" s="230"/>
    </row>
    <row r="13" spans="1:37" ht="15" customHeight="1">
      <c r="A13" s="50"/>
      <c r="B13" s="54"/>
      <c r="C13" s="514" t="s">
        <v>86</v>
      </c>
      <c r="D13" s="514"/>
      <c r="E13" s="514"/>
      <c r="F13" s="514"/>
      <c r="G13" s="514"/>
      <c r="H13" s="514"/>
      <c r="I13" s="71">
        <f>IF(E10="","x",E10)</f>
        <v>44264</v>
      </c>
      <c r="J13" s="35"/>
      <c r="K13" s="35"/>
      <c r="L13" s="35"/>
      <c r="M13" s="43"/>
      <c r="N13" s="396"/>
      <c r="O13" s="313"/>
      <c r="V13" s="354" t="str">
        <f>IF($C$86="","",VLOOKUP($C$86,календарь!$C$3:$E$14,3,0))</f>
        <v>Январь</v>
      </c>
      <c r="W13" s="313">
        <f>IF(D86=0,"",IF(C86="январь",(D86-1),D86))</f>
        <v>2021</v>
      </c>
      <c r="X13" s="355">
        <f>IF(OR($L$95=0,Z13=""),0,VLOOKUP(Z13,календарь!$F$3:$H$63,2,0))</f>
        <v>1290</v>
      </c>
      <c r="Y13" s="356">
        <f>IF($D$86&lt;2015,X13*4,X13*5)</f>
        <v>6450</v>
      </c>
      <c r="Z13" s="357" t="str">
        <f t="shared" si="0"/>
        <v>Январь2021</v>
      </c>
      <c r="AK13" s="230"/>
    </row>
    <row r="14" spans="1:37" ht="15" customHeight="1">
      <c r="A14" s="50"/>
      <c r="B14" s="54"/>
      <c r="C14" s="514" t="s">
        <v>87</v>
      </c>
      <c r="D14" s="514"/>
      <c r="E14" s="514"/>
      <c r="F14" s="514"/>
      <c r="G14" s="514"/>
      <c r="H14" s="514"/>
      <c r="I14" s="73" t="str">
        <f>IF($E$12="","x",(IF($E$12&gt;P4,"Нет","Да")))</f>
        <v>x</v>
      </c>
      <c r="J14" s="35"/>
      <c r="K14" s="35"/>
      <c r="L14" s="35"/>
      <c r="M14" s="43"/>
      <c r="N14" s="396"/>
      <c r="O14" s="313"/>
      <c r="V14" s="354"/>
      <c r="X14" s="355"/>
      <c r="Y14" s="356"/>
      <c r="Z14" s="357"/>
      <c r="AK14" s="230"/>
    </row>
    <row r="15" spans="2:37" ht="27" customHeight="1">
      <c r="B15" s="53"/>
      <c r="C15" s="519" t="str">
        <f>IF(OR('Исходные данные'!Z8=1,'Исходные данные'!Z8=3),CONCATENATE('Исходные данные'!$O$16," : ",'Исходные данные'!I20," бел.руб."),'Исходные данные'!$O$16)</f>
        <v>Расчет производится исходя из среднедневного заработка</v>
      </c>
      <c r="D15" s="519"/>
      <c r="E15" s="519"/>
      <c r="F15" s="519"/>
      <c r="G15" s="519"/>
      <c r="H15" s="519"/>
      <c r="I15" s="519"/>
      <c r="J15" s="519"/>
      <c r="K15" s="519"/>
      <c r="L15" s="519"/>
      <c r="M15" s="519"/>
      <c r="N15" s="396"/>
      <c r="O15" s="313"/>
      <c r="V15" s="354"/>
      <c r="X15" s="355"/>
      <c r="Y15" s="356"/>
      <c r="Z15" s="357"/>
      <c r="AK15" s="230"/>
    </row>
    <row r="16" spans="2:37" ht="15" customHeight="1">
      <c r="B16" s="53"/>
      <c r="C16" s="55"/>
      <c r="D16" s="55"/>
      <c r="E16" s="55"/>
      <c r="F16" s="55"/>
      <c r="G16" s="55"/>
      <c r="H16" s="55"/>
      <c r="I16" s="55"/>
      <c r="J16" s="55"/>
      <c r="K16" s="55"/>
      <c r="L16" s="55"/>
      <c r="M16" s="55"/>
      <c r="N16" s="396"/>
      <c r="O16" s="313"/>
      <c r="V16" s="354"/>
      <c r="X16" s="355"/>
      <c r="Y16" s="356"/>
      <c r="Z16" s="357"/>
      <c r="AK16" s="230"/>
    </row>
    <row r="17" spans="2:37" ht="15" customHeight="1">
      <c r="B17" s="53"/>
      <c r="C17" s="74" t="s">
        <v>89</v>
      </c>
      <c r="D17" s="55"/>
      <c r="E17" s="55"/>
      <c r="F17" s="55"/>
      <c r="G17" s="55"/>
      <c r="H17" s="55"/>
      <c r="I17" s="55"/>
      <c r="J17" s="55"/>
      <c r="K17" s="55"/>
      <c r="L17" s="55"/>
      <c r="M17" s="55"/>
      <c r="N17" s="396"/>
      <c r="O17" s="313"/>
      <c r="V17" s="354"/>
      <c r="X17" s="355"/>
      <c r="Y17" s="356"/>
      <c r="Z17" s="357"/>
      <c r="AK17" s="230"/>
    </row>
    <row r="18" spans="2:37" ht="15" customHeight="1">
      <c r="B18" s="53"/>
      <c r="C18" s="33"/>
      <c r="D18" s="33"/>
      <c r="E18" s="33"/>
      <c r="F18" s="39"/>
      <c r="G18" s="33"/>
      <c r="H18" s="33"/>
      <c r="I18" s="33"/>
      <c r="J18" s="33"/>
      <c r="K18" s="75"/>
      <c r="L18" s="75"/>
      <c r="M18" s="335"/>
      <c r="N18" s="396"/>
      <c r="O18" s="313"/>
      <c r="V18" s="354"/>
      <c r="X18" s="355"/>
      <c r="Y18" s="356"/>
      <c r="Z18" s="357"/>
      <c r="AK18" s="230"/>
    </row>
    <row r="19" spans="2:32" ht="40.5" customHeight="1">
      <c r="B19" s="53"/>
      <c r="C19" s="515" t="s">
        <v>90</v>
      </c>
      <c r="D19" s="516"/>
      <c r="E19" s="485" t="s">
        <v>115</v>
      </c>
      <c r="F19" s="486"/>
      <c r="G19" s="486"/>
      <c r="H19" s="486"/>
      <c r="I19" s="487"/>
      <c r="J19" s="483" t="s">
        <v>117</v>
      </c>
      <c r="K19" s="483" t="s">
        <v>118</v>
      </c>
      <c r="L19" s="483" t="s">
        <v>119</v>
      </c>
      <c r="M19" s="525" t="s">
        <v>120</v>
      </c>
      <c r="N19" s="396"/>
      <c r="O19" s="313"/>
      <c r="AF19" s="313"/>
    </row>
    <row r="20" spans="2:35" ht="24" customHeight="1">
      <c r="B20" s="53"/>
      <c r="C20" s="517"/>
      <c r="D20" s="518"/>
      <c r="E20" s="485" t="s">
        <v>67</v>
      </c>
      <c r="F20" s="486"/>
      <c r="G20" s="486"/>
      <c r="H20" s="487"/>
      <c r="I20" s="78" t="s">
        <v>116</v>
      </c>
      <c r="J20" s="488"/>
      <c r="K20" s="488"/>
      <c r="L20" s="484"/>
      <c r="M20" s="526"/>
      <c r="N20" s="397"/>
      <c r="O20" s="358"/>
      <c r="P20" s="358"/>
      <c r="Q20" s="437"/>
      <c r="R20" s="437"/>
      <c r="S20" s="437"/>
      <c r="T20" s="437"/>
      <c r="U20" s="358"/>
      <c r="V20" s="358"/>
      <c r="W20" s="358"/>
      <c r="X20" s="358"/>
      <c r="Y20" s="358"/>
      <c r="Z20" s="358"/>
      <c r="AA20" s="358"/>
      <c r="AB20" s="358"/>
      <c r="AC20" s="358"/>
      <c r="AD20" s="358"/>
      <c r="AE20" s="358"/>
      <c r="AF20" s="358"/>
      <c r="AG20" s="359"/>
      <c r="AH20" s="231"/>
      <c r="AI20" s="231"/>
    </row>
    <row r="21" spans="2:35" ht="15" customHeight="1">
      <c r="B21" s="53"/>
      <c r="C21" s="76" t="str">
        <f>VLOOKUP(D22,календарь!$B$3:$C$14,2,0)</f>
        <v>Сентябрь</v>
      </c>
      <c r="D21" s="77">
        <f>IF(C22-6&lt;=0,YEAR($E$11)-1,YEAR($E$11))</f>
        <v>2020</v>
      </c>
      <c r="E21" s="463" t="s">
        <v>121</v>
      </c>
      <c r="F21" s="464"/>
      <c r="G21" s="464"/>
      <c r="H21" s="464"/>
      <c r="I21" s="465"/>
      <c r="J21" s="98"/>
      <c r="K21" s="98"/>
      <c r="L21" s="99"/>
      <c r="M21" s="336"/>
      <c r="N21" s="397"/>
      <c r="O21" s="358"/>
      <c r="P21" s="358"/>
      <c r="Q21" s="437"/>
      <c r="R21" s="437"/>
      <c r="S21" s="437"/>
      <c r="T21" s="437"/>
      <c r="U21" s="358"/>
      <c r="V21" s="358"/>
      <c r="W21" s="358"/>
      <c r="X21" s="358"/>
      <c r="Y21" s="358"/>
      <c r="Z21" s="358"/>
      <c r="AA21" s="360"/>
      <c r="AB21" s="360"/>
      <c r="AC21" s="360"/>
      <c r="AD21" s="358"/>
      <c r="AE21" s="358"/>
      <c r="AF21" s="351"/>
      <c r="AG21" s="359"/>
      <c r="AH21" s="231"/>
      <c r="AI21" s="231"/>
    </row>
    <row r="22" spans="2:35" ht="15" customHeight="1">
      <c r="B22" s="53"/>
      <c r="C22" s="102">
        <f>IF('Исходные данные'!$U$22="нет",MONTH($E$10),MONTH('Исходные данные'!$T$26))</f>
        <v>3</v>
      </c>
      <c r="D22" s="191">
        <f>IF(C22-6&lt;=0,12+(C22-6),C22-6)</f>
        <v>9</v>
      </c>
      <c r="E22" s="466" t="s">
        <v>174</v>
      </c>
      <c r="F22" s="467"/>
      <c r="G22" s="467"/>
      <c r="H22" s="468"/>
      <c r="I22" s="266">
        <v>350</v>
      </c>
      <c r="J22" s="83"/>
      <c r="K22" s="84"/>
      <c r="L22" s="270">
        <f>IF($K$32&gt;0,I22,0)</f>
        <v>350</v>
      </c>
      <c r="M22" s="337"/>
      <c r="N22" s="397"/>
      <c r="O22" s="358"/>
      <c r="P22" s="358"/>
      <c r="Q22" s="437"/>
      <c r="R22" s="437"/>
      <c r="S22" s="437"/>
      <c r="T22" s="437"/>
      <c r="U22" s="358"/>
      <c r="V22" s="358"/>
      <c r="W22" s="358"/>
      <c r="X22" s="358"/>
      <c r="Y22" s="358"/>
      <c r="Z22" s="358"/>
      <c r="AA22" s="358"/>
      <c r="AB22" s="358"/>
      <c r="AC22" s="358"/>
      <c r="AD22" s="358"/>
      <c r="AE22" s="358"/>
      <c r="AF22" s="351"/>
      <c r="AG22" s="359"/>
      <c r="AH22" s="231"/>
      <c r="AI22" s="231"/>
    </row>
    <row r="23" spans="2:35" ht="15" customHeight="1">
      <c r="B23" s="53"/>
      <c r="C23" s="102"/>
      <c r="D23" s="103"/>
      <c r="E23" s="469" t="s">
        <v>68</v>
      </c>
      <c r="F23" s="470"/>
      <c r="G23" s="470"/>
      <c r="H23" s="471"/>
      <c r="I23" s="267">
        <v>50</v>
      </c>
      <c r="J23" s="85"/>
      <c r="K23" s="86"/>
      <c r="L23" s="271">
        <f>IF($K$32&gt;0,I23,0)</f>
        <v>50</v>
      </c>
      <c r="M23" s="337"/>
      <c r="N23" s="397"/>
      <c r="O23" s="358"/>
      <c r="P23" s="358"/>
      <c r="Q23" s="437"/>
      <c r="R23" s="437"/>
      <c r="S23" s="437"/>
      <c r="T23" s="437"/>
      <c r="U23" s="358"/>
      <c r="V23" s="358"/>
      <c r="W23" s="358"/>
      <c r="X23" s="358"/>
      <c r="Y23" s="358"/>
      <c r="Z23" s="358"/>
      <c r="AA23" s="358"/>
      <c r="AB23" s="358"/>
      <c r="AC23" s="358"/>
      <c r="AD23" s="358"/>
      <c r="AE23" s="358"/>
      <c r="AF23" s="351"/>
      <c r="AG23" s="359"/>
      <c r="AH23" s="231"/>
      <c r="AI23" s="231"/>
    </row>
    <row r="24" spans="2:35" ht="15" customHeight="1">
      <c r="B24" s="53"/>
      <c r="C24" s="475" t="s">
        <v>124</v>
      </c>
      <c r="D24" s="192"/>
      <c r="E24" s="469"/>
      <c r="F24" s="470"/>
      <c r="G24" s="470"/>
      <c r="H24" s="471"/>
      <c r="I24" s="268"/>
      <c r="J24" s="85"/>
      <c r="K24" s="86"/>
      <c r="L24" s="271">
        <f>IF($K$32&gt;0,I24,0)</f>
        <v>0</v>
      </c>
      <c r="M24" s="337"/>
      <c r="N24" s="397"/>
      <c r="O24" s="358"/>
      <c r="P24" s="358"/>
      <c r="Q24" s="437"/>
      <c r="R24" s="437"/>
      <c r="S24" s="437"/>
      <c r="T24" s="437"/>
      <c r="U24" s="358"/>
      <c r="V24" s="358"/>
      <c r="W24" s="358"/>
      <c r="X24" s="358"/>
      <c r="Y24" s="358"/>
      <c r="Z24" s="358"/>
      <c r="AA24" s="358"/>
      <c r="AB24" s="358"/>
      <c r="AC24" s="358"/>
      <c r="AD24" s="358"/>
      <c r="AE24" s="358"/>
      <c r="AF24" s="358"/>
      <c r="AG24" s="359"/>
      <c r="AH24" s="231"/>
      <c r="AI24" s="231"/>
    </row>
    <row r="25" spans="2:35" ht="15" customHeight="1">
      <c r="B25" s="53"/>
      <c r="C25" s="475"/>
      <c r="D25" s="192"/>
      <c r="E25" s="472"/>
      <c r="F25" s="473"/>
      <c r="G25" s="473"/>
      <c r="H25" s="474"/>
      <c r="I25" s="269"/>
      <c r="J25" s="87"/>
      <c r="K25" s="88"/>
      <c r="L25" s="272">
        <f>IF($K$32&gt;0,I25,0)</f>
        <v>0</v>
      </c>
      <c r="M25" s="337"/>
      <c r="N25" s="397"/>
      <c r="O25" s="358"/>
      <c r="P25" s="358"/>
      <c r="Q25" s="437"/>
      <c r="R25" s="437"/>
      <c r="S25" s="437"/>
      <c r="T25" s="437"/>
      <c r="U25" s="358"/>
      <c r="V25" s="358"/>
      <c r="W25" s="358"/>
      <c r="X25" s="358"/>
      <c r="Y25" s="358"/>
      <c r="Z25" s="358"/>
      <c r="AA25" s="358"/>
      <c r="AB25" s="358"/>
      <c r="AC25" s="358"/>
      <c r="AD25" s="358"/>
      <c r="AE25" s="358"/>
      <c r="AF25" s="358"/>
      <c r="AG25" s="359"/>
      <c r="AH25" s="231"/>
      <c r="AI25" s="231"/>
    </row>
    <row r="26" spans="2:35" ht="15" customHeight="1">
      <c r="B26" s="53"/>
      <c r="C26" s="475"/>
      <c r="D26" s="191"/>
      <c r="E26" s="463" t="s">
        <v>122</v>
      </c>
      <c r="F26" s="464"/>
      <c r="G26" s="464"/>
      <c r="H26" s="464"/>
      <c r="I26" s="465"/>
      <c r="J26" s="89"/>
      <c r="K26" s="90"/>
      <c r="L26" s="56"/>
      <c r="M26" s="337"/>
      <c r="N26" s="397"/>
      <c r="O26" s="358"/>
      <c r="P26" s="358"/>
      <c r="Q26" s="437"/>
      <c r="R26" s="437"/>
      <c r="S26" s="437"/>
      <c r="T26" s="437"/>
      <c r="U26" s="358"/>
      <c r="V26" s="358"/>
      <c r="W26" s="358"/>
      <c r="X26" s="358"/>
      <c r="Y26" s="358"/>
      <c r="Z26" s="358"/>
      <c r="AA26" s="358"/>
      <c r="AB26" s="358"/>
      <c r="AC26" s="358"/>
      <c r="AD26" s="358"/>
      <c r="AE26" s="358"/>
      <c r="AF26" s="358"/>
      <c r="AG26" s="359"/>
      <c r="AH26" s="231"/>
      <c r="AI26" s="231"/>
    </row>
    <row r="27" spans="2:35" ht="15" customHeight="1">
      <c r="B27" s="53"/>
      <c r="C27" s="475"/>
      <c r="D27" s="191">
        <f>VLOOKUP($C$21,календарь!$C$3:$D$14,2,0)</f>
        <v>30</v>
      </c>
      <c r="E27" s="466" t="s">
        <v>123</v>
      </c>
      <c r="F27" s="467"/>
      <c r="G27" s="467"/>
      <c r="H27" s="468"/>
      <c r="I27" s="273">
        <v>60</v>
      </c>
      <c r="J27" s="79">
        <v>17</v>
      </c>
      <c r="K27" s="80">
        <v>22</v>
      </c>
      <c r="L27" s="276">
        <f>IF(AND($K$27&gt;0,$K$27&lt;$J$27),I27,IF($K$27=0,0,I27/$K$27*$J$27))</f>
        <v>46.36363636363636</v>
      </c>
      <c r="M27" s="337"/>
      <c r="N27" s="397"/>
      <c r="O27" s="358"/>
      <c r="P27" s="358"/>
      <c r="Q27" s="437"/>
      <c r="R27" s="437"/>
      <c r="S27" s="437"/>
      <c r="T27" s="437"/>
      <c r="U27" s="358"/>
      <c r="V27" s="358"/>
      <c r="W27" s="358"/>
      <c r="X27" s="358"/>
      <c r="Y27" s="358"/>
      <c r="Z27" s="358"/>
      <c r="AA27" s="358"/>
      <c r="AB27" s="358"/>
      <c r="AC27" s="359"/>
      <c r="AD27" s="359"/>
      <c r="AE27" s="359"/>
      <c r="AF27" s="359"/>
      <c r="AG27" s="359"/>
      <c r="AH27" s="231"/>
      <c r="AI27" s="231"/>
    </row>
    <row r="28" spans="2:35" ht="15" customHeight="1">
      <c r="B28" s="53"/>
      <c r="C28" s="81"/>
      <c r="D28" s="82"/>
      <c r="E28" s="469"/>
      <c r="F28" s="470"/>
      <c r="G28" s="470"/>
      <c r="H28" s="471"/>
      <c r="I28" s="274"/>
      <c r="J28" s="91"/>
      <c r="K28" s="91"/>
      <c r="L28" s="277">
        <f>IF(AND($K$27&gt;0,$K$27&lt;$J$27),I28,IF($K$27=0,0,I28/$K$27*$J$27))</f>
        <v>0</v>
      </c>
      <c r="M28" s="337"/>
      <c r="N28" s="397"/>
      <c r="O28" s="358"/>
      <c r="P28" s="358"/>
      <c r="Q28" s="437"/>
      <c r="R28" s="437"/>
      <c r="S28" s="437"/>
      <c r="T28" s="437"/>
      <c r="U28" s="358"/>
      <c r="V28" s="358"/>
      <c r="W28" s="358"/>
      <c r="X28" s="358"/>
      <c r="Y28" s="358"/>
      <c r="Z28" s="358"/>
      <c r="AA28" s="358"/>
      <c r="AB28" s="358"/>
      <c r="AC28" s="359"/>
      <c r="AD28" s="359"/>
      <c r="AE28" s="359"/>
      <c r="AF28" s="359"/>
      <c r="AG28" s="359"/>
      <c r="AH28" s="231"/>
      <c r="AI28" s="231"/>
    </row>
    <row r="29" spans="2:35" ht="15" customHeight="1">
      <c r="B29" s="53"/>
      <c r="C29" s="92"/>
      <c r="D29" s="93"/>
      <c r="E29" s="472"/>
      <c r="F29" s="473"/>
      <c r="G29" s="473"/>
      <c r="H29" s="474"/>
      <c r="I29" s="275"/>
      <c r="J29" s="94"/>
      <c r="K29" s="95"/>
      <c r="L29" s="272">
        <f>IF(AND($K$27&gt;0,$K$27&lt;$J$27),I29,IF($K$27=0,0,I29/$K$27*$J$27))</f>
        <v>0</v>
      </c>
      <c r="M29" s="337"/>
      <c r="N29" s="397"/>
      <c r="O29" s="358"/>
      <c r="P29" s="358"/>
      <c r="Q29" s="437"/>
      <c r="R29" s="437"/>
      <c r="S29" s="437"/>
      <c r="T29" s="437"/>
      <c r="U29" s="358"/>
      <c r="V29" s="358"/>
      <c r="W29" s="358"/>
      <c r="X29" s="358"/>
      <c r="Y29" s="358"/>
      <c r="Z29" s="358"/>
      <c r="AA29" s="358"/>
      <c r="AB29" s="358"/>
      <c r="AC29" s="359"/>
      <c r="AD29" s="359"/>
      <c r="AE29" s="359"/>
      <c r="AF29" s="359"/>
      <c r="AG29" s="359"/>
      <c r="AH29" s="231"/>
      <c r="AI29" s="231"/>
    </row>
    <row r="30" spans="2:35" ht="15" customHeight="1">
      <c r="B30" s="53"/>
      <c r="C30" s="460" t="s">
        <v>69</v>
      </c>
      <c r="D30" s="461"/>
      <c r="E30" s="461"/>
      <c r="F30" s="461"/>
      <c r="G30" s="461"/>
      <c r="H30" s="461"/>
      <c r="I30" s="461"/>
      <c r="J30" s="461"/>
      <c r="K30" s="462"/>
      <c r="L30" s="278">
        <f>SUM(L22:L29)</f>
        <v>446.3636363636364</v>
      </c>
      <c r="M30" s="338"/>
      <c r="N30" s="398"/>
      <c r="O30" s="361"/>
      <c r="P30" s="361"/>
      <c r="Q30" s="438"/>
      <c r="R30" s="438"/>
      <c r="S30" s="438"/>
      <c r="T30" s="438"/>
      <c r="U30" s="361"/>
      <c r="V30" s="361"/>
      <c r="W30" s="361"/>
      <c r="X30" s="361"/>
      <c r="Y30" s="361"/>
      <c r="Z30" s="361"/>
      <c r="AA30" s="361"/>
      <c r="AB30" s="358"/>
      <c r="AC30" s="359"/>
      <c r="AD30" s="359"/>
      <c r="AE30" s="359"/>
      <c r="AF30" s="359"/>
      <c r="AG30" s="359"/>
      <c r="AH30" s="231"/>
      <c r="AI30" s="231"/>
    </row>
    <row r="31" spans="2:35" ht="15" customHeight="1">
      <c r="B31" s="53"/>
      <c r="C31" s="479" t="s">
        <v>148</v>
      </c>
      <c r="D31" s="479"/>
      <c r="E31" s="479"/>
      <c r="F31" s="479"/>
      <c r="G31" s="479"/>
      <c r="H31" s="479"/>
      <c r="I31" s="479"/>
      <c r="J31" s="480"/>
      <c r="K31" s="96">
        <v>5</v>
      </c>
      <c r="L31" s="280"/>
      <c r="M31" s="338"/>
      <c r="N31" s="398"/>
      <c r="O31" s="361"/>
      <c r="P31" s="361"/>
      <c r="Q31" s="438"/>
      <c r="R31" s="438"/>
      <c r="S31" s="438"/>
      <c r="T31" s="438"/>
      <c r="U31" s="361"/>
      <c r="V31" s="361"/>
      <c r="W31" s="361"/>
      <c r="X31" s="361"/>
      <c r="Y31" s="361"/>
      <c r="Z31" s="361"/>
      <c r="AA31" s="361"/>
      <c r="AB31" s="358"/>
      <c r="AC31" s="359"/>
      <c r="AD31" s="359"/>
      <c r="AE31" s="359"/>
      <c r="AF31" s="359"/>
      <c r="AG31" s="359"/>
      <c r="AH31" s="231"/>
      <c r="AI31" s="231"/>
    </row>
    <row r="32" spans="2:35" ht="15" customHeight="1">
      <c r="B32" s="53"/>
      <c r="C32" s="459" t="s">
        <v>149</v>
      </c>
      <c r="D32" s="459"/>
      <c r="E32" s="459"/>
      <c r="F32" s="459"/>
      <c r="G32" s="459"/>
      <c r="H32" s="459"/>
      <c r="I32" s="459"/>
      <c r="J32" s="459"/>
      <c r="K32" s="97">
        <f>D27-K31</f>
        <v>25</v>
      </c>
      <c r="L32" s="280"/>
      <c r="M32" s="338"/>
      <c r="N32" s="398"/>
      <c r="O32" s="361"/>
      <c r="P32" s="361"/>
      <c r="Q32" s="438"/>
      <c r="R32" s="438"/>
      <c r="S32" s="438"/>
      <c r="T32" s="438"/>
      <c r="U32" s="361"/>
      <c r="V32" s="361"/>
      <c r="W32" s="361"/>
      <c r="X32" s="361"/>
      <c r="Y32" s="361"/>
      <c r="Z32" s="361"/>
      <c r="AA32" s="361"/>
      <c r="AB32" s="358"/>
      <c r="AC32" s="359"/>
      <c r="AD32" s="359"/>
      <c r="AE32" s="359"/>
      <c r="AF32" s="359"/>
      <c r="AG32" s="359"/>
      <c r="AH32" s="231"/>
      <c r="AI32" s="231"/>
    </row>
    <row r="33" spans="2:35" ht="15" customHeight="1">
      <c r="B33" s="53"/>
      <c r="C33" s="460" t="s">
        <v>70</v>
      </c>
      <c r="D33" s="461"/>
      <c r="E33" s="461"/>
      <c r="F33" s="461"/>
      <c r="G33" s="461"/>
      <c r="H33" s="461"/>
      <c r="I33" s="461"/>
      <c r="J33" s="461"/>
      <c r="K33" s="462"/>
      <c r="L33" s="281">
        <f>IF(L30&gt;M33,M33,L30)</f>
        <v>446.3636363636364</v>
      </c>
      <c r="M33" s="279">
        <f>$Y$8</f>
        <v>6382</v>
      </c>
      <c r="N33" s="398"/>
      <c r="O33" s="361"/>
      <c r="P33" s="361"/>
      <c r="Q33" s="438"/>
      <c r="R33" s="438"/>
      <c r="S33" s="438"/>
      <c r="T33" s="438"/>
      <c r="U33" s="361"/>
      <c r="V33" s="361"/>
      <c r="W33" s="361"/>
      <c r="X33" s="361"/>
      <c r="Y33" s="361"/>
      <c r="Z33" s="361"/>
      <c r="AA33" s="361"/>
      <c r="AB33" s="358"/>
      <c r="AC33" s="359"/>
      <c r="AD33" s="359"/>
      <c r="AE33" s="359"/>
      <c r="AF33" s="359"/>
      <c r="AG33" s="359"/>
      <c r="AH33" s="231"/>
      <c r="AI33" s="231"/>
    </row>
    <row r="34" spans="2:35" ht="15" customHeight="1">
      <c r="B34" s="53"/>
      <c r="C34" s="76" t="str">
        <f>VLOOKUP(D35,календарь!$B$3:$C$14,2,0)</f>
        <v>Октябрь</v>
      </c>
      <c r="D34" s="77">
        <f>IF(C35-5&lt;=0,YEAR($E$11)-1,YEAR($E$11))</f>
        <v>2020</v>
      </c>
      <c r="E34" s="463" t="s">
        <v>121</v>
      </c>
      <c r="F34" s="464"/>
      <c r="G34" s="464"/>
      <c r="H34" s="464"/>
      <c r="I34" s="465"/>
      <c r="J34" s="98"/>
      <c r="K34" s="98"/>
      <c r="L34" s="99"/>
      <c r="M34" s="336"/>
      <c r="N34" s="397"/>
      <c r="O34" s="358"/>
      <c r="P34" s="358"/>
      <c r="Q34" s="437"/>
      <c r="R34" s="437"/>
      <c r="S34" s="437"/>
      <c r="T34" s="437"/>
      <c r="U34" s="358"/>
      <c r="V34" s="358"/>
      <c r="W34" s="358"/>
      <c r="X34" s="358"/>
      <c r="Y34" s="358"/>
      <c r="Z34" s="358"/>
      <c r="AA34" s="360"/>
      <c r="AB34" s="360"/>
      <c r="AC34" s="360"/>
      <c r="AD34" s="358"/>
      <c r="AE34" s="358"/>
      <c r="AF34" s="351"/>
      <c r="AG34" s="359"/>
      <c r="AH34" s="231"/>
      <c r="AI34" s="231"/>
    </row>
    <row r="35" spans="2:35" ht="15" customHeight="1">
      <c r="B35" s="53"/>
      <c r="C35" s="102">
        <f>IF('Исходные данные'!$U$22="нет",MONTH($E$10),MONTH('Исходные данные'!$T$26))</f>
        <v>3</v>
      </c>
      <c r="D35" s="191">
        <f>IF(C35-5&lt;=0,12+(C35-5),C35-5)</f>
        <v>10</v>
      </c>
      <c r="E35" s="466" t="s">
        <v>174</v>
      </c>
      <c r="F35" s="467"/>
      <c r="G35" s="467"/>
      <c r="H35" s="468"/>
      <c r="I35" s="266">
        <v>400</v>
      </c>
      <c r="J35" s="83"/>
      <c r="K35" s="84"/>
      <c r="L35" s="270">
        <f>IF($K$45&gt;0,I35,0)</f>
        <v>400</v>
      </c>
      <c r="M35" s="337"/>
      <c r="N35" s="397"/>
      <c r="O35" s="358"/>
      <c r="P35" s="358"/>
      <c r="Q35" s="437"/>
      <c r="R35" s="437"/>
      <c r="S35" s="437"/>
      <c r="T35" s="437"/>
      <c r="U35" s="358"/>
      <c r="V35" s="358"/>
      <c r="W35" s="358"/>
      <c r="X35" s="358"/>
      <c r="Y35" s="358"/>
      <c r="Z35" s="358"/>
      <c r="AA35" s="358"/>
      <c r="AB35" s="358"/>
      <c r="AC35" s="358"/>
      <c r="AD35" s="358"/>
      <c r="AE35" s="358"/>
      <c r="AF35" s="351"/>
      <c r="AG35" s="359"/>
      <c r="AH35" s="231"/>
      <c r="AI35" s="231"/>
    </row>
    <row r="36" spans="2:35" ht="15" customHeight="1">
      <c r="B36" s="53"/>
      <c r="C36" s="102"/>
      <c r="D36" s="103"/>
      <c r="E36" s="469" t="s">
        <v>68</v>
      </c>
      <c r="F36" s="470"/>
      <c r="G36" s="470"/>
      <c r="H36" s="471"/>
      <c r="I36" s="267">
        <v>80</v>
      </c>
      <c r="J36" s="85"/>
      <c r="K36" s="86"/>
      <c r="L36" s="271">
        <f>IF($K$45&gt;0,I36,0)</f>
        <v>80</v>
      </c>
      <c r="M36" s="337"/>
      <c r="N36" s="397"/>
      <c r="O36" s="358"/>
      <c r="P36" s="358"/>
      <c r="Q36" s="437"/>
      <c r="R36" s="437"/>
      <c r="S36" s="437"/>
      <c r="T36" s="437"/>
      <c r="U36" s="358"/>
      <c r="V36" s="358"/>
      <c r="W36" s="358"/>
      <c r="X36" s="358"/>
      <c r="Y36" s="358"/>
      <c r="Z36" s="358"/>
      <c r="AA36" s="358"/>
      <c r="AB36" s="358"/>
      <c r="AC36" s="358"/>
      <c r="AD36" s="358"/>
      <c r="AE36" s="358"/>
      <c r="AF36" s="351"/>
      <c r="AG36" s="359"/>
      <c r="AH36" s="231"/>
      <c r="AI36" s="231"/>
    </row>
    <row r="37" spans="2:35" ht="15" customHeight="1">
      <c r="B37" s="53"/>
      <c r="C37" s="475" t="s">
        <v>124</v>
      </c>
      <c r="D37" s="192"/>
      <c r="E37" s="469"/>
      <c r="F37" s="470"/>
      <c r="G37" s="470"/>
      <c r="H37" s="471"/>
      <c r="I37" s="268"/>
      <c r="J37" s="85"/>
      <c r="K37" s="86"/>
      <c r="L37" s="271">
        <f>IF($K$45&gt;0,I37,0)</f>
        <v>0</v>
      </c>
      <c r="M37" s="337"/>
      <c r="N37" s="397"/>
      <c r="O37" s="358"/>
      <c r="P37" s="358"/>
      <c r="Q37" s="437"/>
      <c r="R37" s="437"/>
      <c r="S37" s="437"/>
      <c r="T37" s="437"/>
      <c r="U37" s="358"/>
      <c r="V37" s="358"/>
      <c r="W37" s="358"/>
      <c r="X37" s="358"/>
      <c r="Y37" s="358"/>
      <c r="Z37" s="358"/>
      <c r="AA37" s="358"/>
      <c r="AB37" s="358"/>
      <c r="AC37" s="358"/>
      <c r="AD37" s="358"/>
      <c r="AE37" s="358"/>
      <c r="AF37" s="358"/>
      <c r="AG37" s="359"/>
      <c r="AH37" s="231"/>
      <c r="AI37" s="231"/>
    </row>
    <row r="38" spans="2:35" ht="15" customHeight="1">
      <c r="B38" s="53"/>
      <c r="C38" s="475"/>
      <c r="D38" s="192"/>
      <c r="E38" s="472"/>
      <c r="F38" s="473"/>
      <c r="G38" s="473"/>
      <c r="H38" s="474"/>
      <c r="I38" s="269"/>
      <c r="J38" s="87"/>
      <c r="K38" s="88"/>
      <c r="L38" s="272">
        <f>IF($K$45&gt;0,I38,0)</f>
        <v>0</v>
      </c>
      <c r="M38" s="337"/>
      <c r="N38" s="397"/>
      <c r="O38" s="358"/>
      <c r="P38" s="358"/>
      <c r="Q38" s="437"/>
      <c r="R38" s="437"/>
      <c r="S38" s="437"/>
      <c r="T38" s="437"/>
      <c r="U38" s="358"/>
      <c r="V38" s="358"/>
      <c r="W38" s="358"/>
      <c r="X38" s="358"/>
      <c r="Y38" s="358"/>
      <c r="Z38" s="358"/>
      <c r="AA38" s="358"/>
      <c r="AB38" s="358"/>
      <c r="AC38" s="358"/>
      <c r="AD38" s="358"/>
      <c r="AE38" s="358"/>
      <c r="AF38" s="358"/>
      <c r="AG38" s="359"/>
      <c r="AH38" s="231"/>
      <c r="AI38" s="231"/>
    </row>
    <row r="39" spans="2:35" ht="15" customHeight="1">
      <c r="B39" s="53"/>
      <c r="C39" s="475"/>
      <c r="D39" s="191"/>
      <c r="E39" s="463" t="s">
        <v>122</v>
      </c>
      <c r="F39" s="464"/>
      <c r="G39" s="464"/>
      <c r="H39" s="464"/>
      <c r="I39" s="465"/>
      <c r="J39" s="89"/>
      <c r="K39" s="90"/>
      <c r="L39" s="282"/>
      <c r="M39" s="337"/>
      <c r="N39" s="397"/>
      <c r="O39" s="358"/>
      <c r="P39" s="358"/>
      <c r="Q39" s="437"/>
      <c r="R39" s="437"/>
      <c r="S39" s="437"/>
      <c r="T39" s="437"/>
      <c r="U39" s="358"/>
      <c r="V39" s="358"/>
      <c r="W39" s="358"/>
      <c r="X39" s="358"/>
      <c r="Y39" s="358"/>
      <c r="Z39" s="358"/>
      <c r="AA39" s="358"/>
      <c r="AB39" s="358"/>
      <c r="AC39" s="358"/>
      <c r="AD39" s="358"/>
      <c r="AE39" s="358"/>
      <c r="AF39" s="358"/>
      <c r="AG39" s="359"/>
      <c r="AH39" s="231"/>
      <c r="AI39" s="231"/>
    </row>
    <row r="40" spans="2:35" ht="15" customHeight="1">
      <c r="B40" s="53"/>
      <c r="C40" s="475"/>
      <c r="D40" s="191">
        <f>VLOOKUP($C$34,календарь!$C$3:$D$14,2,0)</f>
        <v>31</v>
      </c>
      <c r="E40" s="466" t="s">
        <v>123</v>
      </c>
      <c r="F40" s="467"/>
      <c r="G40" s="467"/>
      <c r="H40" s="468"/>
      <c r="I40" s="273">
        <v>80</v>
      </c>
      <c r="J40" s="79">
        <v>19</v>
      </c>
      <c r="K40" s="80">
        <v>19</v>
      </c>
      <c r="L40" s="276">
        <f>IF(AND($K$40&gt;0,$K$40&lt;$J$40),I40,IF($K$40=0,0,I40/$K$40*$J$40))</f>
        <v>80</v>
      </c>
      <c r="M40" s="337"/>
      <c r="N40" s="397"/>
      <c r="O40" s="358"/>
      <c r="P40" s="358"/>
      <c r="Q40" s="437"/>
      <c r="R40" s="437"/>
      <c r="S40" s="437"/>
      <c r="T40" s="437"/>
      <c r="U40" s="358"/>
      <c r="V40" s="358"/>
      <c r="W40" s="358"/>
      <c r="X40" s="358"/>
      <c r="Y40" s="358"/>
      <c r="Z40" s="358"/>
      <c r="AA40" s="358"/>
      <c r="AB40" s="358"/>
      <c r="AC40" s="359"/>
      <c r="AD40" s="359"/>
      <c r="AE40" s="359"/>
      <c r="AF40" s="359"/>
      <c r="AG40" s="359"/>
      <c r="AH40" s="231"/>
      <c r="AI40" s="231"/>
    </row>
    <row r="41" spans="2:35" ht="15" customHeight="1">
      <c r="B41" s="53"/>
      <c r="C41" s="81"/>
      <c r="D41" s="82"/>
      <c r="E41" s="469"/>
      <c r="F41" s="470"/>
      <c r="G41" s="470"/>
      <c r="H41" s="471"/>
      <c r="I41" s="274"/>
      <c r="J41" s="91"/>
      <c r="K41" s="91"/>
      <c r="L41" s="277">
        <f>IF(AND($K$40&gt;0,$K$40&lt;$J$40),I41,IF($K$40=0,0,I41/$K$40*$J$40))</f>
        <v>0</v>
      </c>
      <c r="M41" s="337"/>
      <c r="N41" s="397"/>
      <c r="O41" s="358"/>
      <c r="P41" s="358"/>
      <c r="Q41" s="437"/>
      <c r="R41" s="437"/>
      <c r="S41" s="437"/>
      <c r="T41" s="437"/>
      <c r="U41" s="358"/>
      <c r="V41" s="358"/>
      <c r="W41" s="358"/>
      <c r="X41" s="358"/>
      <c r="Y41" s="358"/>
      <c r="Z41" s="358"/>
      <c r="AA41" s="358"/>
      <c r="AB41" s="358"/>
      <c r="AC41" s="359"/>
      <c r="AD41" s="359"/>
      <c r="AE41" s="359"/>
      <c r="AF41" s="359"/>
      <c r="AG41" s="359"/>
      <c r="AH41" s="231"/>
      <c r="AI41" s="231"/>
    </row>
    <row r="42" spans="2:35" ht="15" customHeight="1">
      <c r="B42" s="53"/>
      <c r="C42" s="92"/>
      <c r="D42" s="93"/>
      <c r="E42" s="472"/>
      <c r="F42" s="473"/>
      <c r="G42" s="473"/>
      <c r="H42" s="474"/>
      <c r="I42" s="275"/>
      <c r="J42" s="94"/>
      <c r="K42" s="95"/>
      <c r="L42" s="272">
        <f>IF(AND($K$40&gt;0,$K$40&lt;$J$40),I42,IF($K$40=0,0,I42/$K$40*$J$40))</f>
        <v>0</v>
      </c>
      <c r="M42" s="337"/>
      <c r="N42" s="397"/>
      <c r="O42" s="358"/>
      <c r="P42" s="358"/>
      <c r="Q42" s="437"/>
      <c r="R42" s="437"/>
      <c r="S42" s="437"/>
      <c r="T42" s="437"/>
      <c r="U42" s="358"/>
      <c r="V42" s="358"/>
      <c r="W42" s="358"/>
      <c r="X42" s="358"/>
      <c r="Y42" s="358"/>
      <c r="Z42" s="358"/>
      <c r="AA42" s="358"/>
      <c r="AB42" s="358"/>
      <c r="AC42" s="359"/>
      <c r="AD42" s="359"/>
      <c r="AE42" s="359"/>
      <c r="AF42" s="359"/>
      <c r="AG42" s="359"/>
      <c r="AH42" s="231"/>
      <c r="AI42" s="231"/>
    </row>
    <row r="43" spans="2:35" ht="15" customHeight="1">
      <c r="B43" s="53"/>
      <c r="C43" s="460" t="s">
        <v>69</v>
      </c>
      <c r="D43" s="461"/>
      <c r="E43" s="461"/>
      <c r="F43" s="461"/>
      <c r="G43" s="461"/>
      <c r="H43" s="461"/>
      <c r="I43" s="461"/>
      <c r="J43" s="461"/>
      <c r="K43" s="462"/>
      <c r="L43" s="278">
        <f>SUM(L35:L42)</f>
        <v>560</v>
      </c>
      <c r="M43" s="337"/>
      <c r="N43" s="398"/>
      <c r="O43" s="361"/>
      <c r="P43" s="361"/>
      <c r="Q43" s="438"/>
      <c r="R43" s="438"/>
      <c r="S43" s="438"/>
      <c r="T43" s="438"/>
      <c r="U43" s="361"/>
      <c r="V43" s="361"/>
      <c r="W43" s="361"/>
      <c r="X43" s="361"/>
      <c r="Y43" s="361"/>
      <c r="Z43" s="361"/>
      <c r="AA43" s="361"/>
      <c r="AB43" s="358"/>
      <c r="AC43" s="359"/>
      <c r="AD43" s="359"/>
      <c r="AE43" s="359"/>
      <c r="AF43" s="359"/>
      <c r="AG43" s="359"/>
      <c r="AH43" s="231"/>
      <c r="AI43" s="231"/>
    </row>
    <row r="44" spans="2:35" ht="15" customHeight="1">
      <c r="B44" s="53"/>
      <c r="C44" s="479" t="s">
        <v>148</v>
      </c>
      <c r="D44" s="479"/>
      <c r="E44" s="479"/>
      <c r="F44" s="479"/>
      <c r="G44" s="479"/>
      <c r="H44" s="479"/>
      <c r="I44" s="479"/>
      <c r="J44" s="480"/>
      <c r="K44" s="96"/>
      <c r="L44" s="57"/>
      <c r="M44" s="337"/>
      <c r="N44" s="398"/>
      <c r="O44" s="361"/>
      <c r="P44" s="361"/>
      <c r="Q44" s="438"/>
      <c r="R44" s="438"/>
      <c r="S44" s="438"/>
      <c r="T44" s="438"/>
      <c r="U44" s="361"/>
      <c r="V44" s="361"/>
      <c r="W44" s="361"/>
      <c r="X44" s="361"/>
      <c r="Y44" s="361"/>
      <c r="Z44" s="361"/>
      <c r="AA44" s="361"/>
      <c r="AB44" s="358"/>
      <c r="AC44" s="359"/>
      <c r="AD44" s="359"/>
      <c r="AE44" s="359"/>
      <c r="AF44" s="359"/>
      <c r="AG44" s="359"/>
      <c r="AH44" s="231"/>
      <c r="AI44" s="231"/>
    </row>
    <row r="45" spans="2:35" ht="15" customHeight="1">
      <c r="B45" s="53"/>
      <c r="C45" s="459" t="s">
        <v>149</v>
      </c>
      <c r="D45" s="459"/>
      <c r="E45" s="459"/>
      <c r="F45" s="459"/>
      <c r="G45" s="459"/>
      <c r="H45" s="459"/>
      <c r="I45" s="459"/>
      <c r="J45" s="459"/>
      <c r="K45" s="97">
        <f>D40-K44</f>
        <v>31</v>
      </c>
      <c r="L45" s="57"/>
      <c r="M45" s="337"/>
      <c r="N45" s="398"/>
      <c r="O45" s="361"/>
      <c r="P45" s="361"/>
      <c r="Q45" s="438"/>
      <c r="R45" s="438"/>
      <c r="S45" s="438"/>
      <c r="T45" s="438"/>
      <c r="U45" s="361"/>
      <c r="V45" s="361"/>
      <c r="W45" s="361"/>
      <c r="X45" s="361"/>
      <c r="Y45" s="361"/>
      <c r="Z45" s="361"/>
      <c r="AA45" s="361"/>
      <c r="AB45" s="358"/>
      <c r="AC45" s="359"/>
      <c r="AD45" s="359"/>
      <c r="AE45" s="359"/>
      <c r="AF45" s="359"/>
      <c r="AG45" s="359"/>
      <c r="AH45" s="231"/>
      <c r="AI45" s="231"/>
    </row>
    <row r="46" spans="2:35" ht="15" customHeight="1">
      <c r="B46" s="53"/>
      <c r="C46" s="460" t="s">
        <v>70</v>
      </c>
      <c r="D46" s="461"/>
      <c r="E46" s="461"/>
      <c r="F46" s="461"/>
      <c r="G46" s="461"/>
      <c r="H46" s="461"/>
      <c r="I46" s="461"/>
      <c r="J46" s="461"/>
      <c r="K46" s="462"/>
      <c r="L46" s="281">
        <f>IF(L43&gt;M46,M46,L43)</f>
        <v>560</v>
      </c>
      <c r="M46" s="279">
        <f>$Y$9</f>
        <v>6322.5</v>
      </c>
      <c r="N46" s="398"/>
      <c r="O46" s="361"/>
      <c r="P46" s="361"/>
      <c r="Q46" s="438"/>
      <c r="R46" s="438"/>
      <c r="S46" s="438"/>
      <c r="T46" s="438"/>
      <c r="U46" s="361"/>
      <c r="V46" s="361"/>
      <c r="W46" s="361"/>
      <c r="X46" s="361"/>
      <c r="Y46" s="361"/>
      <c r="Z46" s="361"/>
      <c r="AA46" s="361"/>
      <c r="AB46" s="358"/>
      <c r="AC46" s="359"/>
      <c r="AD46" s="359"/>
      <c r="AE46" s="359"/>
      <c r="AF46" s="359"/>
      <c r="AG46" s="359"/>
      <c r="AH46" s="231"/>
      <c r="AI46" s="231"/>
    </row>
    <row r="47" spans="2:35" ht="15" customHeight="1">
      <c r="B47" s="53"/>
      <c r="C47" s="76" t="str">
        <f>VLOOKUP(D48,календарь!$B$3:$C$14,2,0)</f>
        <v>Ноябрь</v>
      </c>
      <c r="D47" s="77">
        <f>IF(C48-4&lt;=0,YEAR($E$11)-1,YEAR($E$11))</f>
        <v>2020</v>
      </c>
      <c r="E47" s="463" t="s">
        <v>121</v>
      </c>
      <c r="F47" s="464"/>
      <c r="G47" s="464"/>
      <c r="H47" s="464"/>
      <c r="I47" s="465"/>
      <c r="J47" s="98"/>
      <c r="K47" s="98"/>
      <c r="L47" s="99"/>
      <c r="M47" s="336"/>
      <c r="N47" s="397"/>
      <c r="O47" s="358"/>
      <c r="P47" s="358"/>
      <c r="Q47" s="437"/>
      <c r="R47" s="437"/>
      <c r="S47" s="437"/>
      <c r="T47" s="437"/>
      <c r="U47" s="358"/>
      <c r="V47" s="358"/>
      <c r="W47" s="358"/>
      <c r="X47" s="358"/>
      <c r="Y47" s="358"/>
      <c r="Z47" s="358"/>
      <c r="AA47" s="360"/>
      <c r="AB47" s="360"/>
      <c r="AC47" s="360"/>
      <c r="AD47" s="358"/>
      <c r="AE47" s="358"/>
      <c r="AF47" s="351"/>
      <c r="AG47" s="359"/>
      <c r="AH47" s="231"/>
      <c r="AI47" s="231"/>
    </row>
    <row r="48" spans="2:35" ht="15" customHeight="1">
      <c r="B48" s="53"/>
      <c r="C48" s="102">
        <f>IF('Исходные данные'!$U$22="нет",MONTH($E$10),MONTH('Исходные данные'!$T$26))</f>
        <v>3</v>
      </c>
      <c r="D48" s="191">
        <f>IF(C48-4&lt;=0,12+(C48-4),C48-4)</f>
        <v>11</v>
      </c>
      <c r="E48" s="466" t="s">
        <v>174</v>
      </c>
      <c r="F48" s="467"/>
      <c r="G48" s="467"/>
      <c r="H48" s="468"/>
      <c r="I48" s="266">
        <v>450</v>
      </c>
      <c r="J48" s="83"/>
      <c r="K48" s="84"/>
      <c r="L48" s="270">
        <f>IF($K$58&gt;0,I48,0)</f>
        <v>450</v>
      </c>
      <c r="M48" s="337"/>
      <c r="N48" s="397"/>
      <c r="O48" s="358"/>
      <c r="P48" s="358"/>
      <c r="Q48" s="437"/>
      <c r="R48" s="437"/>
      <c r="S48" s="437"/>
      <c r="T48" s="437"/>
      <c r="U48" s="358"/>
      <c r="V48" s="358"/>
      <c r="W48" s="358"/>
      <c r="X48" s="358"/>
      <c r="Y48" s="358"/>
      <c r="Z48" s="358"/>
      <c r="AA48" s="358"/>
      <c r="AB48" s="358"/>
      <c r="AC48" s="358"/>
      <c r="AD48" s="358"/>
      <c r="AE48" s="358"/>
      <c r="AF48" s="351"/>
      <c r="AG48" s="359"/>
      <c r="AH48" s="231"/>
      <c r="AI48" s="231"/>
    </row>
    <row r="49" spans="2:35" ht="15" customHeight="1">
      <c r="B49" s="53"/>
      <c r="C49" s="81"/>
      <c r="D49" s="63"/>
      <c r="E49" s="469" t="s">
        <v>68</v>
      </c>
      <c r="F49" s="470"/>
      <c r="G49" s="470"/>
      <c r="H49" s="471"/>
      <c r="I49" s="267">
        <v>100</v>
      </c>
      <c r="J49" s="85"/>
      <c r="K49" s="86"/>
      <c r="L49" s="271">
        <f>IF($K$58&gt;0,I49,0)</f>
        <v>100</v>
      </c>
      <c r="M49" s="337"/>
      <c r="N49" s="397"/>
      <c r="O49" s="358"/>
      <c r="P49" s="358"/>
      <c r="Q49" s="437"/>
      <c r="R49" s="437"/>
      <c r="S49" s="437"/>
      <c r="T49" s="437"/>
      <c r="U49" s="358"/>
      <c r="V49" s="358"/>
      <c r="W49" s="358"/>
      <c r="X49" s="358"/>
      <c r="Y49" s="358"/>
      <c r="Z49" s="358"/>
      <c r="AA49" s="358"/>
      <c r="AB49" s="358"/>
      <c r="AC49" s="358"/>
      <c r="AD49" s="358"/>
      <c r="AE49" s="358"/>
      <c r="AF49" s="351"/>
      <c r="AG49" s="359"/>
      <c r="AH49" s="231"/>
      <c r="AI49" s="231"/>
    </row>
    <row r="50" spans="2:35" ht="15" customHeight="1">
      <c r="B50" s="53"/>
      <c r="C50" s="475" t="s">
        <v>124</v>
      </c>
      <c r="D50" s="192"/>
      <c r="E50" s="469"/>
      <c r="F50" s="470"/>
      <c r="G50" s="470"/>
      <c r="H50" s="471"/>
      <c r="I50" s="268"/>
      <c r="J50" s="85"/>
      <c r="K50" s="86"/>
      <c r="L50" s="271">
        <f>IF($K$58&gt;0,I50,0)</f>
        <v>0</v>
      </c>
      <c r="M50" s="337"/>
      <c r="N50" s="397"/>
      <c r="O50" s="358"/>
      <c r="P50" s="358"/>
      <c r="Q50" s="437"/>
      <c r="R50" s="437"/>
      <c r="S50" s="437"/>
      <c r="T50" s="437"/>
      <c r="U50" s="358"/>
      <c r="V50" s="358"/>
      <c r="W50" s="358"/>
      <c r="X50" s="358"/>
      <c r="Y50" s="358"/>
      <c r="Z50" s="358"/>
      <c r="AA50" s="358"/>
      <c r="AB50" s="358"/>
      <c r="AC50" s="358"/>
      <c r="AD50" s="358"/>
      <c r="AE50" s="358"/>
      <c r="AF50" s="358"/>
      <c r="AG50" s="359"/>
      <c r="AH50" s="231"/>
      <c r="AI50" s="231"/>
    </row>
    <row r="51" spans="2:35" ht="15" customHeight="1">
      <c r="B51" s="53"/>
      <c r="C51" s="475"/>
      <c r="D51" s="192"/>
      <c r="E51" s="472"/>
      <c r="F51" s="473"/>
      <c r="G51" s="473"/>
      <c r="H51" s="474"/>
      <c r="I51" s="269"/>
      <c r="J51" s="87"/>
      <c r="K51" s="88"/>
      <c r="L51" s="272">
        <f>IF($K$58&gt;0,I51,0)</f>
        <v>0</v>
      </c>
      <c r="M51" s="337"/>
      <c r="N51" s="397"/>
      <c r="O51" s="358"/>
      <c r="P51" s="358"/>
      <c r="Q51" s="437"/>
      <c r="R51" s="437"/>
      <c r="S51" s="437"/>
      <c r="T51" s="437"/>
      <c r="U51" s="358"/>
      <c r="V51" s="358"/>
      <c r="W51" s="358"/>
      <c r="X51" s="358"/>
      <c r="Y51" s="358"/>
      <c r="Z51" s="358"/>
      <c r="AA51" s="358"/>
      <c r="AB51" s="358"/>
      <c r="AC51" s="358"/>
      <c r="AD51" s="358"/>
      <c r="AE51" s="358"/>
      <c r="AF51" s="358"/>
      <c r="AG51" s="359"/>
      <c r="AH51" s="231"/>
      <c r="AI51" s="231"/>
    </row>
    <row r="52" spans="2:35" ht="15" customHeight="1">
      <c r="B52" s="53"/>
      <c r="C52" s="475"/>
      <c r="D52" s="191"/>
      <c r="E52" s="463" t="s">
        <v>122</v>
      </c>
      <c r="F52" s="464"/>
      <c r="G52" s="464"/>
      <c r="H52" s="464"/>
      <c r="I52" s="465"/>
      <c r="J52" s="89"/>
      <c r="K52" s="90"/>
      <c r="L52" s="282"/>
      <c r="M52" s="337"/>
      <c r="N52" s="397"/>
      <c r="O52" s="358"/>
      <c r="P52" s="358"/>
      <c r="Q52" s="437"/>
      <c r="R52" s="437"/>
      <c r="S52" s="437"/>
      <c r="T52" s="437"/>
      <c r="U52" s="358"/>
      <c r="V52" s="358"/>
      <c r="W52" s="358"/>
      <c r="X52" s="358"/>
      <c r="Y52" s="358"/>
      <c r="Z52" s="358"/>
      <c r="AA52" s="358"/>
      <c r="AB52" s="358"/>
      <c r="AC52" s="358"/>
      <c r="AD52" s="358"/>
      <c r="AE52" s="358"/>
      <c r="AF52" s="358"/>
      <c r="AG52" s="359"/>
      <c r="AH52" s="231"/>
      <c r="AI52" s="231"/>
    </row>
    <row r="53" spans="2:35" ht="15" customHeight="1">
      <c r="B53" s="53"/>
      <c r="C53" s="475"/>
      <c r="D53" s="191">
        <f>VLOOKUP($C$47,календарь!$C$3:$D$14,2,0)</f>
        <v>30</v>
      </c>
      <c r="E53" s="466" t="s">
        <v>123</v>
      </c>
      <c r="F53" s="467"/>
      <c r="G53" s="467"/>
      <c r="H53" s="468"/>
      <c r="I53" s="273">
        <v>100</v>
      </c>
      <c r="J53" s="79">
        <v>21</v>
      </c>
      <c r="K53" s="80">
        <v>21</v>
      </c>
      <c r="L53" s="276">
        <f>IF(AND($K$53&gt;0,$K$53&lt;$J$53),I53,IF($K$53=0,0,I53/$K$53*$J$53))</f>
        <v>100</v>
      </c>
      <c r="M53" s="337"/>
      <c r="N53" s="397"/>
      <c r="O53" s="358"/>
      <c r="P53" s="358"/>
      <c r="Q53" s="437"/>
      <c r="R53" s="437"/>
      <c r="S53" s="437"/>
      <c r="T53" s="437"/>
      <c r="U53" s="358"/>
      <c r="V53" s="358"/>
      <c r="W53" s="358"/>
      <c r="X53" s="358"/>
      <c r="Y53" s="358"/>
      <c r="Z53" s="358"/>
      <c r="AA53" s="358"/>
      <c r="AB53" s="358"/>
      <c r="AC53" s="359"/>
      <c r="AD53" s="359"/>
      <c r="AE53" s="359"/>
      <c r="AF53" s="359"/>
      <c r="AG53" s="359"/>
      <c r="AH53" s="231"/>
      <c r="AI53" s="231"/>
    </row>
    <row r="54" spans="2:35" ht="15" customHeight="1">
      <c r="B54" s="53"/>
      <c r="C54" s="102"/>
      <c r="D54" s="191"/>
      <c r="E54" s="469"/>
      <c r="F54" s="470"/>
      <c r="G54" s="470"/>
      <c r="H54" s="471"/>
      <c r="I54" s="274"/>
      <c r="J54" s="91"/>
      <c r="K54" s="91"/>
      <c r="L54" s="277">
        <f>IF(AND($K$53&gt;0,$K$53&lt;$J$53),I54,IF($K$53=0,0,I54/$K$53*$J$53))</f>
        <v>0</v>
      </c>
      <c r="M54" s="337"/>
      <c r="N54" s="397"/>
      <c r="O54" s="358"/>
      <c r="P54" s="358"/>
      <c r="Q54" s="437"/>
      <c r="R54" s="437"/>
      <c r="S54" s="437"/>
      <c r="T54" s="437"/>
      <c r="U54" s="358"/>
      <c r="V54" s="358"/>
      <c r="W54" s="358"/>
      <c r="X54" s="358"/>
      <c r="Y54" s="358"/>
      <c r="Z54" s="358"/>
      <c r="AA54" s="358"/>
      <c r="AB54" s="358"/>
      <c r="AC54" s="359"/>
      <c r="AD54" s="359"/>
      <c r="AE54" s="359"/>
      <c r="AF54" s="359"/>
      <c r="AG54" s="359"/>
      <c r="AH54" s="231"/>
      <c r="AI54" s="231"/>
    </row>
    <row r="55" spans="2:35" ht="15" customHeight="1">
      <c r="B55" s="53"/>
      <c r="C55" s="92"/>
      <c r="D55" s="93"/>
      <c r="E55" s="472"/>
      <c r="F55" s="473"/>
      <c r="G55" s="473"/>
      <c r="H55" s="474"/>
      <c r="I55" s="275"/>
      <c r="J55" s="94"/>
      <c r="K55" s="95"/>
      <c r="L55" s="272">
        <f>IF(AND($K$53&gt;0,$K$53&lt;$J$53),I55,IF($K$53=0,0,I55/$K$53*$J$53))</f>
        <v>0</v>
      </c>
      <c r="M55" s="337"/>
      <c r="N55" s="397"/>
      <c r="O55" s="358"/>
      <c r="P55" s="358"/>
      <c r="Q55" s="437"/>
      <c r="R55" s="437"/>
      <c r="S55" s="437"/>
      <c r="T55" s="437"/>
      <c r="U55" s="358"/>
      <c r="V55" s="358"/>
      <c r="W55" s="358"/>
      <c r="X55" s="358"/>
      <c r="Y55" s="358"/>
      <c r="Z55" s="358"/>
      <c r="AA55" s="358"/>
      <c r="AB55" s="358"/>
      <c r="AC55" s="359"/>
      <c r="AD55" s="359"/>
      <c r="AE55" s="359"/>
      <c r="AF55" s="359"/>
      <c r="AG55" s="359"/>
      <c r="AH55" s="231"/>
      <c r="AI55" s="231"/>
    </row>
    <row r="56" spans="2:35" ht="15" customHeight="1">
      <c r="B56" s="53"/>
      <c r="C56" s="460" t="s">
        <v>69</v>
      </c>
      <c r="D56" s="461"/>
      <c r="E56" s="461"/>
      <c r="F56" s="461"/>
      <c r="G56" s="461"/>
      <c r="H56" s="461"/>
      <c r="I56" s="461"/>
      <c r="J56" s="461"/>
      <c r="K56" s="462"/>
      <c r="L56" s="278">
        <f>SUM(L48:L55)</f>
        <v>650</v>
      </c>
      <c r="M56" s="337"/>
      <c r="N56" s="398"/>
      <c r="O56" s="361"/>
      <c r="P56" s="361"/>
      <c r="Q56" s="438"/>
      <c r="R56" s="438"/>
      <c r="S56" s="438"/>
      <c r="T56" s="438"/>
      <c r="U56" s="361"/>
      <c r="V56" s="361"/>
      <c r="W56" s="361"/>
      <c r="X56" s="361"/>
      <c r="Y56" s="361"/>
      <c r="Z56" s="361"/>
      <c r="AA56" s="361"/>
      <c r="AB56" s="358"/>
      <c r="AC56" s="359"/>
      <c r="AD56" s="359"/>
      <c r="AE56" s="359"/>
      <c r="AF56" s="359"/>
      <c r="AG56" s="359"/>
      <c r="AH56" s="231"/>
      <c r="AI56" s="231"/>
    </row>
    <row r="57" spans="2:35" ht="15" customHeight="1">
      <c r="B57" s="53"/>
      <c r="C57" s="479" t="s">
        <v>148</v>
      </c>
      <c r="D57" s="479"/>
      <c r="E57" s="479"/>
      <c r="F57" s="479"/>
      <c r="G57" s="479"/>
      <c r="H57" s="479"/>
      <c r="I57" s="479"/>
      <c r="J57" s="480"/>
      <c r="K57" s="96"/>
      <c r="L57" s="280"/>
      <c r="M57" s="337"/>
      <c r="N57" s="398"/>
      <c r="O57" s="361"/>
      <c r="P57" s="361"/>
      <c r="Q57" s="438"/>
      <c r="R57" s="438"/>
      <c r="S57" s="438"/>
      <c r="T57" s="438"/>
      <c r="U57" s="361"/>
      <c r="V57" s="361"/>
      <c r="W57" s="361"/>
      <c r="X57" s="361"/>
      <c r="Y57" s="361"/>
      <c r="Z57" s="361"/>
      <c r="AA57" s="361"/>
      <c r="AB57" s="358"/>
      <c r="AC57" s="359"/>
      <c r="AD57" s="359"/>
      <c r="AE57" s="359"/>
      <c r="AF57" s="359"/>
      <c r="AG57" s="359"/>
      <c r="AH57" s="231"/>
      <c r="AI57" s="231"/>
    </row>
    <row r="58" spans="2:35" ht="15" customHeight="1">
      <c r="B58" s="53"/>
      <c r="C58" s="459" t="s">
        <v>149</v>
      </c>
      <c r="D58" s="459"/>
      <c r="E58" s="459"/>
      <c r="F58" s="459"/>
      <c r="G58" s="459"/>
      <c r="H58" s="459"/>
      <c r="I58" s="459"/>
      <c r="J58" s="459"/>
      <c r="K58" s="97">
        <f>D53-K57</f>
        <v>30</v>
      </c>
      <c r="L58" s="280"/>
      <c r="M58" s="337"/>
      <c r="N58" s="398"/>
      <c r="O58" s="361"/>
      <c r="P58" s="361"/>
      <c r="Q58" s="438"/>
      <c r="R58" s="438"/>
      <c r="S58" s="438"/>
      <c r="T58" s="438"/>
      <c r="U58" s="361"/>
      <c r="V58" s="361"/>
      <c r="W58" s="361"/>
      <c r="X58" s="361"/>
      <c r="Y58" s="361"/>
      <c r="Z58" s="361"/>
      <c r="AA58" s="361"/>
      <c r="AB58" s="358"/>
      <c r="AC58" s="359"/>
      <c r="AD58" s="359"/>
      <c r="AE58" s="359"/>
      <c r="AF58" s="359"/>
      <c r="AG58" s="359"/>
      <c r="AH58" s="231"/>
      <c r="AI58" s="231"/>
    </row>
    <row r="59" spans="2:35" ht="15" customHeight="1">
      <c r="B59" s="53"/>
      <c r="C59" s="460" t="s">
        <v>70</v>
      </c>
      <c r="D59" s="461"/>
      <c r="E59" s="461"/>
      <c r="F59" s="461"/>
      <c r="G59" s="461"/>
      <c r="H59" s="461"/>
      <c r="I59" s="461"/>
      <c r="J59" s="461"/>
      <c r="K59" s="462"/>
      <c r="L59" s="281">
        <f>IF(L56&gt;M59,M59,L56)</f>
        <v>650</v>
      </c>
      <c r="M59" s="279">
        <f>$Y$10</f>
        <v>6425</v>
      </c>
      <c r="N59" s="398"/>
      <c r="O59" s="361"/>
      <c r="P59" s="361"/>
      <c r="Q59" s="438"/>
      <c r="R59" s="438"/>
      <c r="S59" s="438"/>
      <c r="T59" s="438"/>
      <c r="U59" s="361"/>
      <c r="V59" s="361"/>
      <c r="W59" s="361"/>
      <c r="X59" s="361"/>
      <c r="Y59" s="361"/>
      <c r="Z59" s="361"/>
      <c r="AA59" s="361"/>
      <c r="AB59" s="358"/>
      <c r="AC59" s="359"/>
      <c r="AD59" s="359"/>
      <c r="AE59" s="359"/>
      <c r="AF59" s="359"/>
      <c r="AG59" s="359"/>
      <c r="AH59" s="231"/>
      <c r="AI59" s="231"/>
    </row>
    <row r="60" spans="2:35" ht="15" customHeight="1">
      <c r="B60" s="53"/>
      <c r="C60" s="76" t="str">
        <f>VLOOKUP(D61,календарь!$B$3:$C$14,2,0)</f>
        <v>Декабрь</v>
      </c>
      <c r="D60" s="77">
        <f>IF(C61-3&lt;=0,YEAR($E$11)-1,YEAR($E$11))</f>
        <v>2020</v>
      </c>
      <c r="E60" s="463" t="s">
        <v>121</v>
      </c>
      <c r="F60" s="464"/>
      <c r="G60" s="464"/>
      <c r="H60" s="464"/>
      <c r="I60" s="465"/>
      <c r="J60" s="98"/>
      <c r="K60" s="98"/>
      <c r="L60" s="99"/>
      <c r="M60" s="336"/>
      <c r="N60" s="397"/>
      <c r="O60" s="358"/>
      <c r="P60" s="358"/>
      <c r="Q60" s="437"/>
      <c r="R60" s="437"/>
      <c r="S60" s="437"/>
      <c r="T60" s="437"/>
      <c r="U60" s="358"/>
      <c r="V60" s="358"/>
      <c r="W60" s="358"/>
      <c r="X60" s="358"/>
      <c r="Y60" s="358"/>
      <c r="Z60" s="358"/>
      <c r="AA60" s="360"/>
      <c r="AB60" s="360"/>
      <c r="AC60" s="360"/>
      <c r="AD60" s="358"/>
      <c r="AE60" s="358"/>
      <c r="AF60" s="351"/>
      <c r="AG60" s="359"/>
      <c r="AH60" s="231"/>
      <c r="AI60" s="231"/>
    </row>
    <row r="61" spans="2:35" ht="15" customHeight="1">
      <c r="B61" s="53"/>
      <c r="C61" s="102">
        <f>IF('Исходные данные'!$U$22="нет",MONTH($E$10),MONTH('Исходные данные'!$T$26))</f>
        <v>3</v>
      </c>
      <c r="D61" s="191">
        <f>IF(C61-3&lt;=0,12+(C61-3),C61-3)</f>
        <v>12</v>
      </c>
      <c r="E61" s="466" t="s">
        <v>174</v>
      </c>
      <c r="F61" s="467"/>
      <c r="G61" s="467"/>
      <c r="H61" s="468"/>
      <c r="I61" s="266">
        <v>450</v>
      </c>
      <c r="J61" s="83"/>
      <c r="K61" s="84"/>
      <c r="L61" s="270">
        <f>IF($K$71&gt;0,I61,0)</f>
        <v>450</v>
      </c>
      <c r="M61" s="337"/>
      <c r="N61" s="397"/>
      <c r="O61" s="358"/>
      <c r="P61" s="358"/>
      <c r="Q61" s="437"/>
      <c r="R61" s="437"/>
      <c r="S61" s="437"/>
      <c r="T61" s="437"/>
      <c r="U61" s="358"/>
      <c r="V61" s="358"/>
      <c r="W61" s="358"/>
      <c r="X61" s="358"/>
      <c r="Y61" s="358"/>
      <c r="Z61" s="358"/>
      <c r="AA61" s="358"/>
      <c r="AB61" s="358"/>
      <c r="AC61" s="358"/>
      <c r="AD61" s="358"/>
      <c r="AE61" s="358"/>
      <c r="AF61" s="351"/>
      <c r="AG61" s="359"/>
      <c r="AH61" s="231"/>
      <c r="AI61" s="231"/>
    </row>
    <row r="62" spans="2:35" ht="15" customHeight="1">
      <c r="B62" s="53"/>
      <c r="C62" s="102"/>
      <c r="D62" s="103"/>
      <c r="E62" s="469" t="s">
        <v>68</v>
      </c>
      <c r="F62" s="470"/>
      <c r="G62" s="470"/>
      <c r="H62" s="471"/>
      <c r="I62" s="267">
        <v>100</v>
      </c>
      <c r="J62" s="85"/>
      <c r="K62" s="86"/>
      <c r="L62" s="271">
        <f>IF($K$71&gt;0,I62,0)</f>
        <v>100</v>
      </c>
      <c r="M62" s="337"/>
      <c r="N62" s="397"/>
      <c r="O62" s="358"/>
      <c r="P62" s="358"/>
      <c r="Q62" s="437"/>
      <c r="R62" s="437"/>
      <c r="S62" s="437"/>
      <c r="T62" s="437"/>
      <c r="U62" s="358"/>
      <c r="V62" s="358"/>
      <c r="W62" s="358"/>
      <c r="X62" s="358"/>
      <c r="Y62" s="358"/>
      <c r="Z62" s="358"/>
      <c r="AA62" s="358"/>
      <c r="AB62" s="358"/>
      <c r="AC62" s="358"/>
      <c r="AD62" s="358"/>
      <c r="AE62" s="358"/>
      <c r="AF62" s="351"/>
      <c r="AG62" s="359"/>
      <c r="AH62" s="231"/>
      <c r="AI62" s="231"/>
    </row>
    <row r="63" spans="2:35" ht="15" customHeight="1">
      <c r="B63" s="53"/>
      <c r="C63" s="475" t="s">
        <v>124</v>
      </c>
      <c r="D63" s="192"/>
      <c r="E63" s="469"/>
      <c r="F63" s="470"/>
      <c r="G63" s="470"/>
      <c r="H63" s="471"/>
      <c r="I63" s="268"/>
      <c r="J63" s="85"/>
      <c r="K63" s="86"/>
      <c r="L63" s="271">
        <f>IF($K$71&gt;0,I63,0)</f>
        <v>0</v>
      </c>
      <c r="M63" s="337"/>
      <c r="N63" s="397"/>
      <c r="O63" s="358"/>
      <c r="P63" s="358"/>
      <c r="Q63" s="437"/>
      <c r="R63" s="437"/>
      <c r="S63" s="437"/>
      <c r="T63" s="437"/>
      <c r="U63" s="358"/>
      <c r="V63" s="358"/>
      <c r="W63" s="358"/>
      <c r="X63" s="358"/>
      <c r="Y63" s="358"/>
      <c r="Z63" s="358"/>
      <c r="AA63" s="358"/>
      <c r="AB63" s="358"/>
      <c r="AC63" s="358"/>
      <c r="AD63" s="358"/>
      <c r="AE63" s="358"/>
      <c r="AF63" s="358"/>
      <c r="AG63" s="359"/>
      <c r="AH63" s="231"/>
      <c r="AI63" s="231"/>
    </row>
    <row r="64" spans="2:35" ht="15" customHeight="1">
      <c r="B64" s="53"/>
      <c r="C64" s="475"/>
      <c r="D64" s="192"/>
      <c r="E64" s="472"/>
      <c r="F64" s="473"/>
      <c r="G64" s="473"/>
      <c r="H64" s="474"/>
      <c r="I64" s="269"/>
      <c r="J64" s="87"/>
      <c r="K64" s="88"/>
      <c r="L64" s="272">
        <f>IF($K$71&gt;0,I64,0)</f>
        <v>0</v>
      </c>
      <c r="M64" s="337"/>
      <c r="N64" s="397"/>
      <c r="O64" s="358"/>
      <c r="P64" s="358"/>
      <c r="Q64" s="437"/>
      <c r="R64" s="437"/>
      <c r="S64" s="437"/>
      <c r="T64" s="437"/>
      <c r="U64" s="358"/>
      <c r="V64" s="358"/>
      <c r="W64" s="358"/>
      <c r="X64" s="358"/>
      <c r="Y64" s="358"/>
      <c r="Z64" s="358"/>
      <c r="AA64" s="358"/>
      <c r="AB64" s="358"/>
      <c r="AC64" s="358"/>
      <c r="AD64" s="358"/>
      <c r="AE64" s="358"/>
      <c r="AF64" s="358"/>
      <c r="AG64" s="359"/>
      <c r="AH64" s="231"/>
      <c r="AI64" s="231"/>
    </row>
    <row r="65" spans="2:35" ht="15" customHeight="1">
      <c r="B65" s="53"/>
      <c r="C65" s="475"/>
      <c r="D65" s="191"/>
      <c r="E65" s="463" t="s">
        <v>122</v>
      </c>
      <c r="F65" s="464"/>
      <c r="G65" s="464"/>
      <c r="H65" s="464"/>
      <c r="I65" s="465"/>
      <c r="J65" s="89"/>
      <c r="K65" s="90"/>
      <c r="L65" s="282"/>
      <c r="M65" s="337"/>
      <c r="N65" s="397"/>
      <c r="O65" s="358"/>
      <c r="P65" s="358"/>
      <c r="Q65" s="437"/>
      <c r="R65" s="437"/>
      <c r="S65" s="437"/>
      <c r="T65" s="437"/>
      <c r="U65" s="358"/>
      <c r="V65" s="358"/>
      <c r="W65" s="358"/>
      <c r="X65" s="358"/>
      <c r="Y65" s="358"/>
      <c r="Z65" s="358"/>
      <c r="AA65" s="358"/>
      <c r="AB65" s="358"/>
      <c r="AC65" s="358"/>
      <c r="AD65" s="358"/>
      <c r="AE65" s="358"/>
      <c r="AF65" s="358"/>
      <c r="AG65" s="359"/>
      <c r="AH65" s="231"/>
      <c r="AI65" s="231"/>
    </row>
    <row r="66" spans="2:35" ht="15" customHeight="1">
      <c r="B66" s="53"/>
      <c r="C66" s="475"/>
      <c r="D66" s="191">
        <f>VLOOKUP($C$60,календарь!$C$3:$D$14,2,0)</f>
        <v>31</v>
      </c>
      <c r="E66" s="466" t="s">
        <v>123</v>
      </c>
      <c r="F66" s="467"/>
      <c r="G66" s="467"/>
      <c r="H66" s="468"/>
      <c r="I66" s="273">
        <v>100</v>
      </c>
      <c r="J66" s="79">
        <v>22</v>
      </c>
      <c r="K66" s="80">
        <v>22</v>
      </c>
      <c r="L66" s="276">
        <f>IF(AND($K$66&gt;0,$K$66&lt;$J$66),I66,IF($K$66=0,0,I66/$K$66*$J$66))</f>
        <v>100.00000000000001</v>
      </c>
      <c r="M66" s="337"/>
      <c r="N66" s="397"/>
      <c r="O66" s="358"/>
      <c r="P66" s="358"/>
      <c r="Q66" s="437"/>
      <c r="R66" s="437"/>
      <c r="S66" s="437"/>
      <c r="T66" s="437"/>
      <c r="U66" s="358"/>
      <c r="V66" s="358"/>
      <c r="W66" s="358"/>
      <c r="X66" s="358"/>
      <c r="Y66" s="358"/>
      <c r="Z66" s="358"/>
      <c r="AA66" s="358"/>
      <c r="AB66" s="358"/>
      <c r="AC66" s="359"/>
      <c r="AD66" s="359"/>
      <c r="AE66" s="359"/>
      <c r="AF66" s="359"/>
      <c r="AG66" s="359"/>
      <c r="AH66" s="231"/>
      <c r="AI66" s="231"/>
    </row>
    <row r="67" spans="2:35" ht="15" customHeight="1">
      <c r="B67" s="53"/>
      <c r="C67" s="81"/>
      <c r="D67" s="82"/>
      <c r="E67" s="469"/>
      <c r="F67" s="470"/>
      <c r="G67" s="470"/>
      <c r="H67" s="471"/>
      <c r="I67" s="274"/>
      <c r="J67" s="91"/>
      <c r="K67" s="91"/>
      <c r="L67" s="277">
        <f>IF(AND($K$66&gt;0,$K$66&lt;$J$66),I67,IF($K$66=0,0,I67/$K$66*$J$66))</f>
        <v>0</v>
      </c>
      <c r="M67" s="337"/>
      <c r="N67" s="397"/>
      <c r="O67" s="358"/>
      <c r="P67" s="358"/>
      <c r="Q67" s="437"/>
      <c r="R67" s="437"/>
      <c r="S67" s="437"/>
      <c r="T67" s="437"/>
      <c r="U67" s="358"/>
      <c r="V67" s="358"/>
      <c r="W67" s="358"/>
      <c r="X67" s="358"/>
      <c r="Y67" s="358"/>
      <c r="Z67" s="358"/>
      <c r="AA67" s="358"/>
      <c r="AB67" s="358"/>
      <c r="AC67" s="359"/>
      <c r="AD67" s="359"/>
      <c r="AE67" s="359"/>
      <c r="AF67" s="359"/>
      <c r="AG67" s="359"/>
      <c r="AH67" s="231"/>
      <c r="AI67" s="231"/>
    </row>
    <row r="68" spans="2:35" ht="15" customHeight="1">
      <c r="B68" s="53"/>
      <c r="C68" s="92"/>
      <c r="D68" s="93"/>
      <c r="E68" s="472"/>
      <c r="F68" s="473"/>
      <c r="G68" s="473"/>
      <c r="H68" s="474"/>
      <c r="I68" s="275"/>
      <c r="J68" s="94"/>
      <c r="K68" s="95"/>
      <c r="L68" s="272">
        <f>IF(AND($K$66&gt;0,$K$66&lt;$J$66),I68,IF($K$66=0,0,I68/$K$66*$J$66))</f>
        <v>0</v>
      </c>
      <c r="M68" s="337"/>
      <c r="N68" s="397"/>
      <c r="O68" s="358"/>
      <c r="P68" s="358"/>
      <c r="Q68" s="437"/>
      <c r="R68" s="437"/>
      <c r="S68" s="437"/>
      <c r="T68" s="437"/>
      <c r="U68" s="358"/>
      <c r="V68" s="358"/>
      <c r="W68" s="358"/>
      <c r="X68" s="358"/>
      <c r="Y68" s="358"/>
      <c r="Z68" s="358"/>
      <c r="AA68" s="358"/>
      <c r="AB68" s="358"/>
      <c r="AC68" s="359"/>
      <c r="AD68" s="359"/>
      <c r="AE68" s="359"/>
      <c r="AF68" s="359"/>
      <c r="AG68" s="359"/>
      <c r="AH68" s="231"/>
      <c r="AI68" s="231"/>
    </row>
    <row r="69" spans="2:35" ht="15" customHeight="1">
      <c r="B69" s="53"/>
      <c r="C69" s="460" t="s">
        <v>69</v>
      </c>
      <c r="D69" s="461"/>
      <c r="E69" s="461"/>
      <c r="F69" s="461"/>
      <c r="G69" s="461"/>
      <c r="H69" s="461"/>
      <c r="I69" s="461"/>
      <c r="J69" s="461"/>
      <c r="K69" s="462"/>
      <c r="L69" s="278">
        <f>SUM(L61:L68)</f>
        <v>650</v>
      </c>
      <c r="M69" s="337"/>
      <c r="N69" s="398"/>
      <c r="O69" s="361"/>
      <c r="P69" s="361"/>
      <c r="Q69" s="438"/>
      <c r="R69" s="438"/>
      <c r="S69" s="438"/>
      <c r="T69" s="438"/>
      <c r="U69" s="361"/>
      <c r="V69" s="361"/>
      <c r="W69" s="361"/>
      <c r="X69" s="361"/>
      <c r="Y69" s="361"/>
      <c r="Z69" s="361"/>
      <c r="AA69" s="361"/>
      <c r="AB69" s="358"/>
      <c r="AC69" s="359"/>
      <c r="AD69" s="359"/>
      <c r="AE69" s="359"/>
      <c r="AF69" s="359"/>
      <c r="AG69" s="359"/>
      <c r="AH69" s="231"/>
      <c r="AI69" s="231"/>
    </row>
    <row r="70" spans="2:35" ht="15" customHeight="1">
      <c r="B70" s="53"/>
      <c r="C70" s="479" t="s">
        <v>148</v>
      </c>
      <c r="D70" s="479"/>
      <c r="E70" s="479"/>
      <c r="F70" s="479"/>
      <c r="G70" s="479"/>
      <c r="H70" s="479"/>
      <c r="I70" s="479"/>
      <c r="J70" s="480"/>
      <c r="K70" s="96"/>
      <c r="L70" s="280"/>
      <c r="M70" s="337"/>
      <c r="N70" s="398"/>
      <c r="O70" s="361"/>
      <c r="P70" s="361"/>
      <c r="Q70" s="438"/>
      <c r="R70" s="438"/>
      <c r="S70" s="438"/>
      <c r="T70" s="438"/>
      <c r="U70" s="361"/>
      <c r="V70" s="361"/>
      <c r="W70" s="361"/>
      <c r="X70" s="361"/>
      <c r="Y70" s="361"/>
      <c r="Z70" s="361"/>
      <c r="AA70" s="361"/>
      <c r="AB70" s="358"/>
      <c r="AC70" s="359"/>
      <c r="AD70" s="359"/>
      <c r="AE70" s="359"/>
      <c r="AF70" s="359"/>
      <c r="AG70" s="359"/>
      <c r="AH70" s="231"/>
      <c r="AI70" s="231"/>
    </row>
    <row r="71" spans="2:35" ht="15" customHeight="1">
      <c r="B71" s="53"/>
      <c r="C71" s="459" t="s">
        <v>149</v>
      </c>
      <c r="D71" s="459"/>
      <c r="E71" s="459"/>
      <c r="F71" s="459"/>
      <c r="G71" s="459"/>
      <c r="H71" s="459"/>
      <c r="I71" s="459"/>
      <c r="J71" s="459"/>
      <c r="K71" s="97">
        <f>D66-K70</f>
        <v>31</v>
      </c>
      <c r="L71" s="280"/>
      <c r="M71" s="337"/>
      <c r="N71" s="398"/>
      <c r="O71" s="361"/>
      <c r="P71" s="361"/>
      <c r="Q71" s="438"/>
      <c r="R71" s="438"/>
      <c r="S71" s="438"/>
      <c r="T71" s="438"/>
      <c r="U71" s="361"/>
      <c r="V71" s="361"/>
      <c r="W71" s="361"/>
      <c r="X71" s="361"/>
      <c r="Y71" s="361"/>
      <c r="Z71" s="361"/>
      <c r="AA71" s="361"/>
      <c r="AB71" s="358"/>
      <c r="AC71" s="359"/>
      <c r="AD71" s="359"/>
      <c r="AE71" s="359"/>
      <c r="AF71" s="359"/>
      <c r="AG71" s="359"/>
      <c r="AH71" s="231"/>
      <c r="AI71" s="231"/>
    </row>
    <row r="72" spans="2:35" ht="15" customHeight="1">
      <c r="B72" s="53"/>
      <c r="C72" s="460" t="s">
        <v>70</v>
      </c>
      <c r="D72" s="461"/>
      <c r="E72" s="461"/>
      <c r="F72" s="461"/>
      <c r="G72" s="461"/>
      <c r="H72" s="461"/>
      <c r="I72" s="461"/>
      <c r="J72" s="461"/>
      <c r="K72" s="462"/>
      <c r="L72" s="281">
        <f>IF(L69&gt;M72,M72,L69)</f>
        <v>650</v>
      </c>
      <c r="M72" s="279">
        <f>$Y$11</f>
        <v>6502.5</v>
      </c>
      <c r="N72" s="398"/>
      <c r="O72" s="361"/>
      <c r="P72" s="361"/>
      <c r="Q72" s="438"/>
      <c r="R72" s="438"/>
      <c r="S72" s="438"/>
      <c r="T72" s="438"/>
      <c r="U72" s="361"/>
      <c r="V72" s="361"/>
      <c r="W72" s="361"/>
      <c r="X72" s="361"/>
      <c r="Y72" s="361"/>
      <c r="Z72" s="361"/>
      <c r="AA72" s="361"/>
      <c r="AB72" s="358"/>
      <c r="AC72" s="359"/>
      <c r="AD72" s="359"/>
      <c r="AE72" s="359"/>
      <c r="AF72" s="359"/>
      <c r="AG72" s="359"/>
      <c r="AH72" s="231"/>
      <c r="AI72" s="231"/>
    </row>
    <row r="73" spans="2:35" ht="15" customHeight="1">
      <c r="B73" s="53"/>
      <c r="C73" s="76" t="str">
        <f>VLOOKUP(D74,календарь!$B$3:$C$14,2,0)</f>
        <v>Январь</v>
      </c>
      <c r="D73" s="77">
        <f>IF(C74-2&lt;=0,YEAR($E$11)-1,YEAR($E$11))</f>
        <v>2021</v>
      </c>
      <c r="E73" s="463" t="s">
        <v>121</v>
      </c>
      <c r="F73" s="464"/>
      <c r="G73" s="464"/>
      <c r="H73" s="464"/>
      <c r="I73" s="465"/>
      <c r="J73" s="98"/>
      <c r="K73" s="98"/>
      <c r="L73" s="99"/>
      <c r="M73" s="336"/>
      <c r="N73" s="397"/>
      <c r="O73" s="358"/>
      <c r="P73" s="358"/>
      <c r="Q73" s="437"/>
      <c r="R73" s="437"/>
      <c r="S73" s="437"/>
      <c r="T73" s="437"/>
      <c r="U73" s="358"/>
      <c r="V73" s="358"/>
      <c r="W73" s="358"/>
      <c r="X73" s="358"/>
      <c r="Y73" s="358"/>
      <c r="Z73" s="358"/>
      <c r="AA73" s="360"/>
      <c r="AB73" s="360"/>
      <c r="AC73" s="360"/>
      <c r="AD73" s="358"/>
      <c r="AE73" s="358"/>
      <c r="AF73" s="351"/>
      <c r="AG73" s="359"/>
      <c r="AH73" s="231"/>
      <c r="AI73" s="231"/>
    </row>
    <row r="74" spans="2:35" ht="15" customHeight="1">
      <c r="B74" s="53"/>
      <c r="C74" s="102">
        <f>IF('Исходные данные'!$U$22="нет",MONTH($E$10),MONTH('Исходные данные'!$T$26))</f>
        <v>3</v>
      </c>
      <c r="D74" s="191">
        <f>IF(C74-2&lt;=0,12+(C74-2),C74-2)</f>
        <v>1</v>
      </c>
      <c r="E74" s="466" t="s">
        <v>174</v>
      </c>
      <c r="F74" s="467"/>
      <c r="G74" s="467"/>
      <c r="H74" s="468"/>
      <c r="I74" s="266">
        <v>520</v>
      </c>
      <c r="J74" s="83"/>
      <c r="K74" s="84"/>
      <c r="L74" s="270">
        <f>IF($K$84&gt;0,I74,0)</f>
        <v>520</v>
      </c>
      <c r="M74" s="337"/>
      <c r="N74" s="397"/>
      <c r="O74" s="358"/>
      <c r="P74" s="358"/>
      <c r="Q74" s="437"/>
      <c r="R74" s="437"/>
      <c r="S74" s="437"/>
      <c r="T74" s="437"/>
      <c r="U74" s="358"/>
      <c r="V74" s="358"/>
      <c r="W74" s="358"/>
      <c r="X74" s="358"/>
      <c r="Y74" s="358"/>
      <c r="Z74" s="358"/>
      <c r="AA74" s="358"/>
      <c r="AB74" s="358"/>
      <c r="AC74" s="358"/>
      <c r="AD74" s="358"/>
      <c r="AE74" s="358"/>
      <c r="AF74" s="351"/>
      <c r="AG74" s="359"/>
      <c r="AH74" s="231"/>
      <c r="AI74" s="231"/>
    </row>
    <row r="75" spans="2:35" ht="15" customHeight="1">
      <c r="B75" s="53"/>
      <c r="C75" s="102"/>
      <c r="D75" s="103"/>
      <c r="E75" s="469" t="s">
        <v>68</v>
      </c>
      <c r="F75" s="470"/>
      <c r="G75" s="470"/>
      <c r="H75" s="471"/>
      <c r="I75" s="267">
        <v>110</v>
      </c>
      <c r="J75" s="85"/>
      <c r="K75" s="86"/>
      <c r="L75" s="271">
        <f>IF($K$84&gt;0,I75,0)</f>
        <v>110</v>
      </c>
      <c r="M75" s="337"/>
      <c r="N75" s="397"/>
      <c r="O75" s="358"/>
      <c r="P75" s="358"/>
      <c r="Q75" s="437"/>
      <c r="R75" s="437"/>
      <c r="S75" s="437"/>
      <c r="T75" s="437"/>
      <c r="U75" s="358"/>
      <c r="V75" s="358"/>
      <c r="W75" s="358"/>
      <c r="X75" s="358"/>
      <c r="Y75" s="358"/>
      <c r="Z75" s="358"/>
      <c r="AA75" s="358"/>
      <c r="AB75" s="358"/>
      <c r="AC75" s="358"/>
      <c r="AD75" s="358"/>
      <c r="AE75" s="358"/>
      <c r="AF75" s="351"/>
      <c r="AG75" s="359"/>
      <c r="AH75" s="231"/>
      <c r="AI75" s="231"/>
    </row>
    <row r="76" spans="2:35" ht="15" customHeight="1">
      <c r="B76" s="53"/>
      <c r="C76" s="475" t="s">
        <v>124</v>
      </c>
      <c r="D76" s="192"/>
      <c r="E76" s="469"/>
      <c r="F76" s="470"/>
      <c r="G76" s="470"/>
      <c r="H76" s="471"/>
      <c r="I76" s="268"/>
      <c r="J76" s="85"/>
      <c r="K76" s="86"/>
      <c r="L76" s="271">
        <f>IF($K$84&gt;0,I76,0)</f>
        <v>0</v>
      </c>
      <c r="M76" s="337"/>
      <c r="N76" s="397"/>
      <c r="O76" s="358"/>
      <c r="P76" s="358"/>
      <c r="Q76" s="437"/>
      <c r="R76" s="437"/>
      <c r="S76" s="437"/>
      <c r="T76" s="437"/>
      <c r="U76" s="358"/>
      <c r="V76" s="358"/>
      <c r="W76" s="358"/>
      <c r="X76" s="358"/>
      <c r="Y76" s="358"/>
      <c r="Z76" s="358"/>
      <c r="AA76" s="358"/>
      <c r="AB76" s="358"/>
      <c r="AC76" s="358"/>
      <c r="AD76" s="358"/>
      <c r="AE76" s="358"/>
      <c r="AF76" s="358"/>
      <c r="AG76" s="359"/>
      <c r="AH76" s="231"/>
      <c r="AI76" s="231"/>
    </row>
    <row r="77" spans="2:35" ht="15" customHeight="1">
      <c r="B77" s="53"/>
      <c r="C77" s="475"/>
      <c r="D77" s="192"/>
      <c r="E77" s="472"/>
      <c r="F77" s="473"/>
      <c r="G77" s="473"/>
      <c r="H77" s="474"/>
      <c r="I77" s="269"/>
      <c r="J77" s="87"/>
      <c r="K77" s="88"/>
      <c r="L77" s="272">
        <f>IF($K$84&gt;0,I77,0)</f>
        <v>0</v>
      </c>
      <c r="M77" s="337"/>
      <c r="N77" s="397"/>
      <c r="O77" s="358"/>
      <c r="P77" s="358"/>
      <c r="Q77" s="437"/>
      <c r="R77" s="437"/>
      <c r="S77" s="437"/>
      <c r="T77" s="437"/>
      <c r="U77" s="358"/>
      <c r="V77" s="358"/>
      <c r="W77" s="358"/>
      <c r="X77" s="358"/>
      <c r="Y77" s="358"/>
      <c r="Z77" s="358"/>
      <c r="AA77" s="358"/>
      <c r="AB77" s="358"/>
      <c r="AC77" s="358"/>
      <c r="AD77" s="358"/>
      <c r="AE77" s="358"/>
      <c r="AF77" s="358"/>
      <c r="AG77" s="359"/>
      <c r="AH77" s="231"/>
      <c r="AI77" s="231"/>
    </row>
    <row r="78" spans="2:35" ht="15" customHeight="1">
      <c r="B78" s="53"/>
      <c r="C78" s="475"/>
      <c r="D78" s="191"/>
      <c r="E78" s="463" t="s">
        <v>122</v>
      </c>
      <c r="F78" s="464"/>
      <c r="G78" s="464"/>
      <c r="H78" s="464"/>
      <c r="I78" s="465"/>
      <c r="J78" s="89"/>
      <c r="K78" s="90"/>
      <c r="L78" s="282"/>
      <c r="M78" s="337"/>
      <c r="N78" s="397"/>
      <c r="O78" s="358"/>
      <c r="P78" s="358"/>
      <c r="Q78" s="437"/>
      <c r="R78" s="437"/>
      <c r="S78" s="437"/>
      <c r="T78" s="437"/>
      <c r="U78" s="358"/>
      <c r="V78" s="358"/>
      <c r="W78" s="358"/>
      <c r="X78" s="358"/>
      <c r="Y78" s="358"/>
      <c r="Z78" s="358"/>
      <c r="AA78" s="358"/>
      <c r="AB78" s="358"/>
      <c r="AC78" s="358"/>
      <c r="AD78" s="358"/>
      <c r="AE78" s="358"/>
      <c r="AF78" s="358"/>
      <c r="AG78" s="359"/>
      <c r="AH78" s="231"/>
      <c r="AI78" s="231"/>
    </row>
    <row r="79" spans="2:35" ht="15" customHeight="1">
      <c r="B79" s="53"/>
      <c r="C79" s="475"/>
      <c r="D79" s="191">
        <f>VLOOKUP($C$73,календарь!$C$3:$D$14,2,0)</f>
        <v>31</v>
      </c>
      <c r="E79" s="466" t="s">
        <v>123</v>
      </c>
      <c r="F79" s="467"/>
      <c r="G79" s="467"/>
      <c r="H79" s="468"/>
      <c r="I79" s="273">
        <v>80</v>
      </c>
      <c r="J79" s="79">
        <v>21</v>
      </c>
      <c r="K79" s="80">
        <v>21</v>
      </c>
      <c r="L79" s="276">
        <f>IF(AND($K$79&gt;0,$K$79&lt;$J$79),I79,IF($K$79=0,0,I79/$K$79*$J$79))</f>
        <v>80</v>
      </c>
      <c r="M79" s="337"/>
      <c r="N79" s="397"/>
      <c r="O79" s="358"/>
      <c r="P79" s="358"/>
      <c r="Q79" s="437"/>
      <c r="R79" s="437"/>
      <c r="S79" s="437"/>
      <c r="T79" s="437"/>
      <c r="U79" s="358"/>
      <c r="V79" s="358"/>
      <c r="W79" s="358"/>
      <c r="X79" s="358"/>
      <c r="Y79" s="358"/>
      <c r="Z79" s="358"/>
      <c r="AA79" s="358"/>
      <c r="AB79" s="358"/>
      <c r="AC79" s="359"/>
      <c r="AD79" s="359"/>
      <c r="AE79" s="359"/>
      <c r="AF79" s="359"/>
      <c r="AG79" s="359"/>
      <c r="AH79" s="231"/>
      <c r="AI79" s="231"/>
    </row>
    <row r="80" spans="2:35" ht="15" customHeight="1">
      <c r="B80" s="53"/>
      <c r="C80" s="81"/>
      <c r="D80" s="82"/>
      <c r="E80" s="469"/>
      <c r="F80" s="470"/>
      <c r="G80" s="470"/>
      <c r="H80" s="471"/>
      <c r="I80" s="274"/>
      <c r="J80" s="91"/>
      <c r="K80" s="91"/>
      <c r="L80" s="277">
        <f>IF(AND($K$79&gt;0,$K$79&lt;$J$79),I80,IF($K$79=0,0,I80/$K$79*$J$79))</f>
        <v>0</v>
      </c>
      <c r="M80" s="337"/>
      <c r="N80" s="397"/>
      <c r="O80" s="358"/>
      <c r="P80" s="358"/>
      <c r="Q80" s="437"/>
      <c r="R80" s="437"/>
      <c r="S80" s="437"/>
      <c r="T80" s="437"/>
      <c r="U80" s="358"/>
      <c r="V80" s="358"/>
      <c r="W80" s="358"/>
      <c r="X80" s="358"/>
      <c r="Y80" s="358"/>
      <c r="Z80" s="358"/>
      <c r="AA80" s="358"/>
      <c r="AB80" s="358"/>
      <c r="AC80" s="359"/>
      <c r="AD80" s="359"/>
      <c r="AE80" s="359"/>
      <c r="AF80" s="359"/>
      <c r="AG80" s="359"/>
      <c r="AH80" s="231"/>
      <c r="AI80" s="231"/>
    </row>
    <row r="81" spans="2:35" ht="15" customHeight="1">
      <c r="B81" s="53"/>
      <c r="C81" s="92"/>
      <c r="D81" s="93"/>
      <c r="E81" s="472"/>
      <c r="F81" s="473"/>
      <c r="G81" s="473"/>
      <c r="H81" s="474"/>
      <c r="I81" s="275"/>
      <c r="J81" s="94"/>
      <c r="K81" s="95"/>
      <c r="L81" s="272">
        <f>IF(AND($K$79&gt;0,$K$79&lt;$J$79),I81,IF($K$79=0,0,I81/$K$79*$J$79))</f>
        <v>0</v>
      </c>
      <c r="M81" s="337"/>
      <c r="N81" s="397"/>
      <c r="O81" s="358"/>
      <c r="P81" s="358"/>
      <c r="Q81" s="437"/>
      <c r="R81" s="437"/>
      <c r="S81" s="437"/>
      <c r="T81" s="437"/>
      <c r="U81" s="358"/>
      <c r="V81" s="358"/>
      <c r="W81" s="358"/>
      <c r="X81" s="358"/>
      <c r="Y81" s="358"/>
      <c r="Z81" s="358"/>
      <c r="AA81" s="358"/>
      <c r="AB81" s="358"/>
      <c r="AC81" s="359"/>
      <c r="AD81" s="359"/>
      <c r="AE81" s="359"/>
      <c r="AF81" s="359"/>
      <c r="AG81" s="359"/>
      <c r="AH81" s="231"/>
      <c r="AI81" s="231"/>
    </row>
    <row r="82" spans="2:35" ht="15" customHeight="1">
      <c r="B82" s="53"/>
      <c r="C82" s="460" t="s">
        <v>69</v>
      </c>
      <c r="D82" s="461"/>
      <c r="E82" s="461"/>
      <c r="F82" s="461"/>
      <c r="G82" s="461"/>
      <c r="H82" s="461"/>
      <c r="I82" s="461"/>
      <c r="J82" s="461"/>
      <c r="K82" s="462"/>
      <c r="L82" s="278">
        <f>SUM(L74:L81)</f>
        <v>710</v>
      </c>
      <c r="M82" s="337"/>
      <c r="N82" s="398"/>
      <c r="O82" s="361"/>
      <c r="P82" s="361"/>
      <c r="Q82" s="438"/>
      <c r="R82" s="438"/>
      <c r="S82" s="438"/>
      <c r="T82" s="438"/>
      <c r="U82" s="361"/>
      <c r="V82" s="361"/>
      <c r="W82" s="361"/>
      <c r="X82" s="361"/>
      <c r="Y82" s="361"/>
      <c r="Z82" s="361"/>
      <c r="AA82" s="361"/>
      <c r="AB82" s="358"/>
      <c r="AC82" s="359"/>
      <c r="AD82" s="359"/>
      <c r="AE82" s="359"/>
      <c r="AF82" s="359"/>
      <c r="AG82" s="359"/>
      <c r="AH82" s="231"/>
      <c r="AI82" s="231"/>
    </row>
    <row r="83" spans="2:35" ht="15" customHeight="1">
      <c r="B83" s="53"/>
      <c r="C83" s="479" t="s">
        <v>148</v>
      </c>
      <c r="D83" s="479"/>
      <c r="E83" s="479"/>
      <c r="F83" s="479"/>
      <c r="G83" s="479"/>
      <c r="H83" s="479"/>
      <c r="I83" s="479"/>
      <c r="J83" s="480"/>
      <c r="K83" s="96"/>
      <c r="L83" s="280"/>
      <c r="M83" s="337"/>
      <c r="N83" s="398"/>
      <c r="O83" s="361"/>
      <c r="P83" s="361"/>
      <c r="Q83" s="438"/>
      <c r="R83" s="438"/>
      <c r="S83" s="438"/>
      <c r="T83" s="438"/>
      <c r="U83" s="361"/>
      <c r="V83" s="361"/>
      <c r="W83" s="361"/>
      <c r="X83" s="361"/>
      <c r="Y83" s="361"/>
      <c r="Z83" s="361"/>
      <c r="AA83" s="361"/>
      <c r="AB83" s="358"/>
      <c r="AC83" s="359"/>
      <c r="AD83" s="359"/>
      <c r="AE83" s="359"/>
      <c r="AF83" s="359"/>
      <c r="AG83" s="359"/>
      <c r="AH83" s="231"/>
      <c r="AI83" s="231"/>
    </row>
    <row r="84" spans="2:35" ht="15" customHeight="1">
      <c r="B84" s="53"/>
      <c r="C84" s="459" t="s">
        <v>149</v>
      </c>
      <c r="D84" s="459"/>
      <c r="E84" s="459"/>
      <c r="F84" s="459"/>
      <c r="G84" s="459"/>
      <c r="H84" s="459"/>
      <c r="I84" s="459"/>
      <c r="J84" s="459"/>
      <c r="K84" s="97">
        <f>D79-K83</f>
        <v>31</v>
      </c>
      <c r="L84" s="280"/>
      <c r="M84" s="337"/>
      <c r="N84" s="398"/>
      <c r="O84" s="361"/>
      <c r="P84" s="361"/>
      <c r="Q84" s="438"/>
      <c r="R84" s="438"/>
      <c r="S84" s="438"/>
      <c r="T84" s="438"/>
      <c r="U84" s="361"/>
      <c r="V84" s="361"/>
      <c r="W84" s="361"/>
      <c r="X84" s="361"/>
      <c r="Y84" s="361"/>
      <c r="Z84" s="361"/>
      <c r="AA84" s="361"/>
      <c r="AB84" s="358"/>
      <c r="AC84" s="359"/>
      <c r="AD84" s="359"/>
      <c r="AE84" s="359"/>
      <c r="AF84" s="359"/>
      <c r="AG84" s="359"/>
      <c r="AH84" s="231"/>
      <c r="AI84" s="231"/>
    </row>
    <row r="85" spans="2:35" ht="15" customHeight="1">
      <c r="B85" s="53"/>
      <c r="C85" s="460" t="s">
        <v>70</v>
      </c>
      <c r="D85" s="461"/>
      <c r="E85" s="461"/>
      <c r="F85" s="461"/>
      <c r="G85" s="461"/>
      <c r="H85" s="461"/>
      <c r="I85" s="461"/>
      <c r="J85" s="461"/>
      <c r="K85" s="462"/>
      <c r="L85" s="281">
        <f>IF(L82&gt;M85,M85,L82)</f>
        <v>710</v>
      </c>
      <c r="M85" s="279">
        <f>$Y$12</f>
        <v>7373</v>
      </c>
      <c r="N85" s="398"/>
      <c r="O85" s="361"/>
      <c r="P85" s="361"/>
      <c r="Q85" s="438"/>
      <c r="R85" s="438"/>
      <c r="S85" s="438"/>
      <c r="T85" s="438"/>
      <c r="U85" s="361"/>
      <c r="V85" s="361"/>
      <c r="W85" s="361"/>
      <c r="X85" s="361"/>
      <c r="Y85" s="361"/>
      <c r="Z85" s="361"/>
      <c r="AA85" s="361"/>
      <c r="AB85" s="358"/>
      <c r="AC85" s="359"/>
      <c r="AD85" s="359"/>
      <c r="AE85" s="359"/>
      <c r="AF85" s="359"/>
      <c r="AG85" s="359"/>
      <c r="AH85" s="231"/>
      <c r="AI85" s="231"/>
    </row>
    <row r="86" spans="2:35" ht="15" customHeight="1">
      <c r="B86" s="53"/>
      <c r="C86" s="76" t="str">
        <f>VLOOKUP(D87,календарь!$B$3:$C$14,2,0)</f>
        <v>Февраль</v>
      </c>
      <c r="D86" s="77">
        <f>IF(C87-1&lt;=0,YEAR($E$11)-1,YEAR($E$11))</f>
        <v>2021</v>
      </c>
      <c r="E86" s="463" t="s">
        <v>121</v>
      </c>
      <c r="F86" s="464"/>
      <c r="G86" s="464"/>
      <c r="H86" s="464"/>
      <c r="I86" s="465"/>
      <c r="J86" s="98"/>
      <c r="K86" s="98"/>
      <c r="L86" s="99"/>
      <c r="M86" s="336"/>
      <c r="N86" s="397"/>
      <c r="O86" s="358"/>
      <c r="P86" s="358"/>
      <c r="Q86" s="437"/>
      <c r="R86" s="437"/>
      <c r="S86" s="437"/>
      <c r="T86" s="437"/>
      <c r="U86" s="358"/>
      <c r="V86" s="358"/>
      <c r="W86" s="358"/>
      <c r="X86" s="358"/>
      <c r="Y86" s="358"/>
      <c r="Z86" s="358"/>
      <c r="AA86" s="360"/>
      <c r="AB86" s="360"/>
      <c r="AC86" s="360"/>
      <c r="AD86" s="358"/>
      <c r="AE86" s="358"/>
      <c r="AF86" s="351"/>
      <c r="AG86" s="359"/>
      <c r="AH86" s="231"/>
      <c r="AI86" s="231"/>
    </row>
    <row r="87" spans="2:35" ht="15" customHeight="1">
      <c r="B87" s="53"/>
      <c r="C87" s="102">
        <f>IF('Исходные данные'!$U$22="нет",MONTH($E$10),MONTH('Исходные данные'!$T$26))</f>
        <v>3</v>
      </c>
      <c r="D87" s="191">
        <f>IF(C87-1&lt;=0,12+(C87-1),C87-1)</f>
        <v>2</v>
      </c>
      <c r="E87" s="466" t="s">
        <v>174</v>
      </c>
      <c r="F87" s="467"/>
      <c r="G87" s="467"/>
      <c r="H87" s="468"/>
      <c r="I87" s="266">
        <v>520</v>
      </c>
      <c r="J87" s="83"/>
      <c r="K87" s="84"/>
      <c r="L87" s="270">
        <f>IF($K$97&gt;0,I87,0)</f>
        <v>520</v>
      </c>
      <c r="M87" s="339"/>
      <c r="N87" s="397"/>
      <c r="O87" s="358"/>
      <c r="P87" s="358"/>
      <c r="Q87" s="437"/>
      <c r="R87" s="437"/>
      <c r="S87" s="437"/>
      <c r="T87" s="437"/>
      <c r="U87" s="358"/>
      <c r="V87" s="358"/>
      <c r="W87" s="358"/>
      <c r="X87" s="358"/>
      <c r="Y87" s="358"/>
      <c r="Z87" s="358"/>
      <c r="AA87" s="358"/>
      <c r="AB87" s="358"/>
      <c r="AC87" s="358"/>
      <c r="AD87" s="358"/>
      <c r="AE87" s="358"/>
      <c r="AF87" s="351"/>
      <c r="AG87" s="359"/>
      <c r="AH87" s="231"/>
      <c r="AI87" s="231"/>
    </row>
    <row r="88" spans="2:35" ht="15" customHeight="1">
      <c r="B88" s="53"/>
      <c r="C88" s="102"/>
      <c r="D88" s="103"/>
      <c r="E88" s="469" t="s">
        <v>68</v>
      </c>
      <c r="F88" s="470"/>
      <c r="G88" s="470"/>
      <c r="H88" s="471"/>
      <c r="I88" s="267">
        <v>110</v>
      </c>
      <c r="J88" s="85"/>
      <c r="K88" s="86"/>
      <c r="L88" s="271">
        <f>IF($K$97&gt;0,I88,0)</f>
        <v>110</v>
      </c>
      <c r="M88" s="339"/>
      <c r="N88" s="397"/>
      <c r="O88" s="358"/>
      <c r="P88" s="358"/>
      <c r="Q88" s="437"/>
      <c r="R88" s="437"/>
      <c r="S88" s="437"/>
      <c r="T88" s="437"/>
      <c r="U88" s="358"/>
      <c r="V88" s="358"/>
      <c r="W88" s="358"/>
      <c r="X88" s="358"/>
      <c r="Y88" s="358"/>
      <c r="Z88" s="358"/>
      <c r="AA88" s="358"/>
      <c r="AB88" s="358"/>
      <c r="AC88" s="358"/>
      <c r="AD88" s="358"/>
      <c r="AE88" s="358"/>
      <c r="AF88" s="351"/>
      <c r="AG88" s="359"/>
      <c r="AH88" s="231"/>
      <c r="AI88" s="231"/>
    </row>
    <row r="89" spans="2:35" ht="15" customHeight="1">
      <c r="B89" s="53"/>
      <c r="C89" s="475" t="s">
        <v>124</v>
      </c>
      <c r="D89" s="192"/>
      <c r="E89" s="469"/>
      <c r="F89" s="470"/>
      <c r="G89" s="470"/>
      <c r="H89" s="471"/>
      <c r="I89" s="268"/>
      <c r="J89" s="85"/>
      <c r="K89" s="86"/>
      <c r="L89" s="271">
        <f>IF($K$97&gt;0,I89,0)</f>
        <v>0</v>
      </c>
      <c r="M89" s="339"/>
      <c r="N89" s="397"/>
      <c r="O89" s="358"/>
      <c r="P89" s="358"/>
      <c r="Q89" s="437"/>
      <c r="R89" s="437"/>
      <c r="S89" s="437"/>
      <c r="T89" s="437"/>
      <c r="U89" s="358"/>
      <c r="V89" s="358"/>
      <c r="W89" s="358"/>
      <c r="X89" s="358"/>
      <c r="Y89" s="358"/>
      <c r="Z89" s="358"/>
      <c r="AA89" s="358"/>
      <c r="AB89" s="358"/>
      <c r="AC89" s="358"/>
      <c r="AD89" s="358"/>
      <c r="AE89" s="358"/>
      <c r="AF89" s="358"/>
      <c r="AG89" s="359"/>
      <c r="AH89" s="231"/>
      <c r="AI89" s="231"/>
    </row>
    <row r="90" spans="2:35" ht="15" customHeight="1">
      <c r="B90" s="53"/>
      <c r="C90" s="475"/>
      <c r="D90" s="192"/>
      <c r="E90" s="472"/>
      <c r="F90" s="473"/>
      <c r="G90" s="473"/>
      <c r="H90" s="474"/>
      <c r="I90" s="269"/>
      <c r="J90" s="87"/>
      <c r="K90" s="88"/>
      <c r="L90" s="272">
        <f>IF($K$97&gt;0,I90,0)</f>
        <v>0</v>
      </c>
      <c r="M90" s="339"/>
      <c r="N90" s="397"/>
      <c r="O90" s="358"/>
      <c r="P90" s="358"/>
      <c r="Q90" s="437"/>
      <c r="R90" s="437"/>
      <c r="S90" s="437"/>
      <c r="T90" s="437"/>
      <c r="U90" s="358"/>
      <c r="V90" s="358"/>
      <c r="W90" s="358"/>
      <c r="X90" s="358"/>
      <c r="Y90" s="358"/>
      <c r="Z90" s="358"/>
      <c r="AA90" s="358"/>
      <c r="AB90" s="358"/>
      <c r="AC90" s="358"/>
      <c r="AD90" s="358"/>
      <c r="AE90" s="358"/>
      <c r="AF90" s="358"/>
      <c r="AG90" s="359"/>
      <c r="AH90" s="231"/>
      <c r="AI90" s="231"/>
    </row>
    <row r="91" spans="2:35" ht="15" customHeight="1">
      <c r="B91" s="53"/>
      <c r="C91" s="475"/>
      <c r="D91" s="191"/>
      <c r="E91" s="463" t="s">
        <v>122</v>
      </c>
      <c r="F91" s="464"/>
      <c r="G91" s="464"/>
      <c r="H91" s="464"/>
      <c r="I91" s="465"/>
      <c r="J91" s="89"/>
      <c r="K91" s="90"/>
      <c r="L91" s="282"/>
      <c r="M91" s="339"/>
      <c r="N91" s="397"/>
      <c r="O91" s="358"/>
      <c r="P91" s="358"/>
      <c r="Q91" s="437"/>
      <c r="R91" s="437"/>
      <c r="S91" s="437"/>
      <c r="T91" s="437"/>
      <c r="U91" s="358"/>
      <c r="V91" s="358"/>
      <c r="W91" s="358"/>
      <c r="X91" s="358"/>
      <c r="Y91" s="358"/>
      <c r="Z91" s="358"/>
      <c r="AA91" s="358"/>
      <c r="AB91" s="358"/>
      <c r="AC91" s="358"/>
      <c r="AD91" s="358"/>
      <c r="AE91" s="358"/>
      <c r="AF91" s="358"/>
      <c r="AG91" s="359"/>
      <c r="AH91" s="231"/>
      <c r="AI91" s="231"/>
    </row>
    <row r="92" spans="2:35" ht="15" customHeight="1">
      <c r="B92" s="53"/>
      <c r="C92" s="475"/>
      <c r="D92" s="191">
        <f>VLOOKUP($C$86,календарь!$C$3:$D$14,2,0)</f>
        <v>28</v>
      </c>
      <c r="E92" s="466" t="s">
        <v>123</v>
      </c>
      <c r="F92" s="467"/>
      <c r="G92" s="467"/>
      <c r="H92" s="468"/>
      <c r="I92" s="273">
        <v>80</v>
      </c>
      <c r="J92" s="79">
        <v>4</v>
      </c>
      <c r="K92" s="80">
        <v>20</v>
      </c>
      <c r="L92" s="276">
        <f>IF(AND($K$92&gt;0,$K$92&lt;$J$92),I92,IF($K$92=0,0,I92/$K$92*$J$92))</f>
        <v>16</v>
      </c>
      <c r="M92" s="339"/>
      <c r="N92" s="397"/>
      <c r="O92" s="358"/>
      <c r="P92" s="358"/>
      <c r="Q92" s="437"/>
      <c r="R92" s="437"/>
      <c r="S92" s="437"/>
      <c r="T92" s="437"/>
      <c r="U92" s="358"/>
      <c r="V92" s="358"/>
      <c r="W92" s="358"/>
      <c r="X92" s="358"/>
      <c r="Y92" s="358"/>
      <c r="Z92" s="358"/>
      <c r="AA92" s="358"/>
      <c r="AB92" s="358"/>
      <c r="AC92" s="359"/>
      <c r="AD92" s="359"/>
      <c r="AE92" s="359"/>
      <c r="AF92" s="359"/>
      <c r="AG92" s="359"/>
      <c r="AH92" s="231"/>
      <c r="AI92" s="231"/>
    </row>
    <row r="93" spans="2:35" ht="15" customHeight="1">
      <c r="B93" s="53"/>
      <c r="C93" s="81"/>
      <c r="D93" s="82"/>
      <c r="E93" s="469"/>
      <c r="F93" s="470"/>
      <c r="G93" s="470"/>
      <c r="H93" s="471"/>
      <c r="I93" s="274"/>
      <c r="J93" s="91"/>
      <c r="K93" s="91"/>
      <c r="L93" s="277">
        <f>IF(AND($K$92&gt;0,$K$92&lt;$J$92),I93,IF($K$92=0,0,I93/$K$92*$J$92))</f>
        <v>0</v>
      </c>
      <c r="M93" s="339"/>
      <c r="N93" s="397"/>
      <c r="O93" s="358"/>
      <c r="P93" s="358"/>
      <c r="Q93" s="437"/>
      <c r="R93" s="437"/>
      <c r="S93" s="437"/>
      <c r="T93" s="437"/>
      <c r="U93" s="358"/>
      <c r="V93" s="358"/>
      <c r="W93" s="358"/>
      <c r="X93" s="358"/>
      <c r="Y93" s="358"/>
      <c r="Z93" s="358"/>
      <c r="AA93" s="358"/>
      <c r="AB93" s="358"/>
      <c r="AC93" s="359"/>
      <c r="AD93" s="359"/>
      <c r="AE93" s="359"/>
      <c r="AF93" s="359"/>
      <c r="AG93" s="359"/>
      <c r="AH93" s="231"/>
      <c r="AI93" s="231"/>
    </row>
    <row r="94" spans="2:35" ht="15" customHeight="1">
      <c r="B94" s="53"/>
      <c r="C94" s="92"/>
      <c r="D94" s="93"/>
      <c r="E94" s="472"/>
      <c r="F94" s="473"/>
      <c r="G94" s="473"/>
      <c r="H94" s="474"/>
      <c r="I94" s="275"/>
      <c r="J94" s="94"/>
      <c r="K94" s="95"/>
      <c r="L94" s="272">
        <f>IF(AND($K$92&gt;0,$K$92&lt;$J$92),I94,IF($K$92=0,0,I94/$K$92*$J$92))</f>
        <v>0</v>
      </c>
      <c r="M94" s="339"/>
      <c r="N94" s="397"/>
      <c r="O94" s="358"/>
      <c r="P94" s="358"/>
      <c r="Q94" s="437"/>
      <c r="R94" s="437"/>
      <c r="S94" s="437"/>
      <c r="T94" s="437"/>
      <c r="U94" s="358"/>
      <c r="V94" s="358"/>
      <c r="W94" s="358"/>
      <c r="X94" s="358"/>
      <c r="Y94" s="358"/>
      <c r="Z94" s="358"/>
      <c r="AA94" s="358"/>
      <c r="AB94" s="358"/>
      <c r="AC94" s="359"/>
      <c r="AD94" s="359"/>
      <c r="AE94" s="359"/>
      <c r="AF94" s="359"/>
      <c r="AG94" s="359"/>
      <c r="AH94" s="231"/>
      <c r="AI94" s="231"/>
    </row>
    <row r="95" spans="2:35" ht="15" customHeight="1">
      <c r="B95" s="53"/>
      <c r="C95" s="460" t="s">
        <v>69</v>
      </c>
      <c r="D95" s="461"/>
      <c r="E95" s="461"/>
      <c r="F95" s="461"/>
      <c r="G95" s="461"/>
      <c r="H95" s="461"/>
      <c r="I95" s="461"/>
      <c r="J95" s="461"/>
      <c r="K95" s="462"/>
      <c r="L95" s="278">
        <f>SUM(L87:L94)</f>
        <v>646</v>
      </c>
      <c r="M95" s="339"/>
      <c r="N95" s="398"/>
      <c r="O95" s="361"/>
      <c r="P95" s="361"/>
      <c r="Q95" s="438"/>
      <c r="R95" s="438"/>
      <c r="S95" s="438"/>
      <c r="T95" s="438"/>
      <c r="U95" s="361"/>
      <c r="V95" s="361"/>
      <c r="W95" s="361"/>
      <c r="X95" s="361"/>
      <c r="Y95" s="361"/>
      <c r="Z95" s="361"/>
      <c r="AA95" s="361"/>
      <c r="AB95" s="358"/>
      <c r="AC95" s="359"/>
      <c r="AD95" s="359"/>
      <c r="AE95" s="359"/>
      <c r="AF95" s="359"/>
      <c r="AG95" s="359"/>
      <c r="AH95" s="231"/>
      <c r="AI95" s="231"/>
    </row>
    <row r="96" spans="2:35" ht="15" customHeight="1">
      <c r="B96" s="53"/>
      <c r="C96" s="479" t="s">
        <v>148</v>
      </c>
      <c r="D96" s="479"/>
      <c r="E96" s="479"/>
      <c r="F96" s="479"/>
      <c r="G96" s="479"/>
      <c r="H96" s="479"/>
      <c r="I96" s="479"/>
      <c r="J96" s="480"/>
      <c r="K96" s="96">
        <v>24</v>
      </c>
      <c r="L96" s="280"/>
      <c r="M96" s="339"/>
      <c r="N96" s="398"/>
      <c r="O96" s="361"/>
      <c r="P96" s="361"/>
      <c r="Q96" s="438"/>
      <c r="R96" s="438"/>
      <c r="S96" s="438"/>
      <c r="T96" s="438"/>
      <c r="U96" s="361"/>
      <c r="V96" s="361"/>
      <c r="W96" s="361"/>
      <c r="X96" s="361"/>
      <c r="Y96" s="361"/>
      <c r="Z96" s="361"/>
      <c r="AA96" s="361"/>
      <c r="AB96" s="358"/>
      <c r="AC96" s="359"/>
      <c r="AD96" s="359"/>
      <c r="AE96" s="359"/>
      <c r="AF96" s="359"/>
      <c r="AG96" s="359"/>
      <c r="AH96" s="231"/>
      <c r="AI96" s="231"/>
    </row>
    <row r="97" spans="2:35" ht="15" customHeight="1">
      <c r="B97" s="53"/>
      <c r="C97" s="459" t="s">
        <v>149</v>
      </c>
      <c r="D97" s="459"/>
      <c r="E97" s="459"/>
      <c r="F97" s="459"/>
      <c r="G97" s="459"/>
      <c r="H97" s="459"/>
      <c r="I97" s="459"/>
      <c r="J97" s="459"/>
      <c r="K97" s="97">
        <f>D92-K96</f>
        <v>4</v>
      </c>
      <c r="L97" s="280"/>
      <c r="M97" s="339"/>
      <c r="N97" s="398"/>
      <c r="O97" s="361"/>
      <c r="P97" s="361"/>
      <c r="Q97" s="438"/>
      <c r="R97" s="438"/>
      <c r="S97" s="438"/>
      <c r="T97" s="438"/>
      <c r="U97" s="361"/>
      <c r="V97" s="361"/>
      <c r="W97" s="361"/>
      <c r="X97" s="361"/>
      <c r="Y97" s="361"/>
      <c r="Z97" s="361"/>
      <c r="AA97" s="361"/>
      <c r="AB97" s="358"/>
      <c r="AC97" s="359"/>
      <c r="AD97" s="359"/>
      <c r="AE97" s="359"/>
      <c r="AF97" s="359"/>
      <c r="AG97" s="359"/>
      <c r="AH97" s="231"/>
      <c r="AI97" s="231"/>
    </row>
    <row r="98" spans="2:35" ht="15" customHeight="1" thickBot="1">
      <c r="B98" s="53"/>
      <c r="C98" s="460" t="s">
        <v>70</v>
      </c>
      <c r="D98" s="461"/>
      <c r="E98" s="461"/>
      <c r="F98" s="461"/>
      <c r="G98" s="461"/>
      <c r="H98" s="461"/>
      <c r="I98" s="461"/>
      <c r="J98" s="461"/>
      <c r="K98" s="462"/>
      <c r="L98" s="283">
        <f>IF(L95&gt;M98,M98,L95)</f>
        <v>646</v>
      </c>
      <c r="M98" s="279">
        <f>$Y$13</f>
        <v>6450</v>
      </c>
      <c r="N98" s="398"/>
      <c r="O98" s="361"/>
      <c r="P98" s="361"/>
      <c r="Q98" s="438"/>
      <c r="R98" s="438"/>
      <c r="S98" s="438"/>
      <c r="T98" s="438"/>
      <c r="U98" s="361"/>
      <c r="V98" s="361"/>
      <c r="W98" s="361"/>
      <c r="X98" s="361"/>
      <c r="Y98" s="361"/>
      <c r="Z98" s="361"/>
      <c r="AA98" s="361"/>
      <c r="AB98" s="358"/>
      <c r="AC98" s="359"/>
      <c r="AD98" s="359"/>
      <c r="AE98" s="359"/>
      <c r="AF98" s="359"/>
      <c r="AG98" s="359"/>
      <c r="AH98" s="231"/>
      <c r="AI98" s="231"/>
    </row>
    <row r="99" spans="2:35" ht="15" customHeight="1" thickBot="1">
      <c r="B99" s="53"/>
      <c r="C99" s="481" t="s">
        <v>71</v>
      </c>
      <c r="D99" s="481"/>
      <c r="E99" s="481"/>
      <c r="F99" s="481"/>
      <c r="G99" s="481"/>
      <c r="H99" s="481"/>
      <c r="I99" s="481"/>
      <c r="J99" s="482"/>
      <c r="K99" s="100">
        <f>K32+K45+K58+K71+K84+K97</f>
        <v>152</v>
      </c>
      <c r="L99" s="284">
        <f>$L$33+$L$46+$L$59+$L$72+$L$85+$L$98</f>
        <v>3662.3636363636365</v>
      </c>
      <c r="M99" s="340"/>
      <c r="N99" s="397"/>
      <c r="O99" s="358"/>
      <c r="P99" s="358"/>
      <c r="Q99" s="437"/>
      <c r="R99" s="437"/>
      <c r="S99" s="437"/>
      <c r="T99" s="437"/>
      <c r="U99" s="358"/>
      <c r="V99" s="362"/>
      <c r="W99" s="347"/>
      <c r="X99" s="347"/>
      <c r="Y99" s="347"/>
      <c r="Z99" s="347"/>
      <c r="AA99" s="362"/>
      <c r="AB99" s="362"/>
      <c r="AC99" s="359"/>
      <c r="AD99" s="359"/>
      <c r="AE99" s="359"/>
      <c r="AF99" s="359"/>
      <c r="AG99" s="359"/>
      <c r="AH99" s="231"/>
      <c r="AI99" s="231"/>
    </row>
    <row r="100" spans="2:35" ht="15" customHeight="1">
      <c r="B100" s="53"/>
      <c r="C100" s="477" t="s">
        <v>150</v>
      </c>
      <c r="D100" s="477"/>
      <c r="E100" s="477"/>
      <c r="F100" s="477"/>
      <c r="G100" s="477"/>
      <c r="H100" s="477"/>
      <c r="I100" s="478"/>
      <c r="J100" s="285">
        <f>IF($K$99&gt;0,ROUND($L$99/$K$99,2),0)</f>
        <v>24.09</v>
      </c>
      <c r="K100" s="101"/>
      <c r="L100" s="101"/>
      <c r="M100" s="341"/>
      <c r="N100" s="397"/>
      <c r="O100" s="358"/>
      <c r="P100" s="358"/>
      <c r="Q100" s="437"/>
      <c r="R100" s="437"/>
      <c r="S100" s="437"/>
      <c r="T100" s="437"/>
      <c r="U100" s="358"/>
      <c r="V100" s="362"/>
      <c r="W100" s="362"/>
      <c r="X100" s="362"/>
      <c r="Y100" s="362"/>
      <c r="Z100" s="362"/>
      <c r="AA100" s="362"/>
      <c r="AB100" s="362"/>
      <c r="AC100" s="359"/>
      <c r="AD100" s="359"/>
      <c r="AE100" s="359"/>
      <c r="AF100" s="359"/>
      <c r="AG100" s="359"/>
      <c r="AH100" s="231"/>
      <c r="AI100" s="231"/>
    </row>
    <row r="101" spans="2:35" ht="6" customHeight="1">
      <c r="B101" s="53"/>
      <c r="C101" s="104"/>
      <c r="D101" s="104"/>
      <c r="E101" s="105"/>
      <c r="F101" s="105"/>
      <c r="G101" s="105"/>
      <c r="H101" s="105"/>
      <c r="I101" s="105"/>
      <c r="J101" s="40"/>
      <c r="K101" s="48"/>
      <c r="L101" s="48"/>
      <c r="M101" s="43"/>
      <c r="N101" s="397"/>
      <c r="O101" s="358"/>
      <c r="P101" s="358"/>
      <c r="Q101" s="437"/>
      <c r="R101" s="437"/>
      <c r="S101" s="437"/>
      <c r="T101" s="437"/>
      <c r="U101" s="358"/>
      <c r="V101" s="362"/>
      <c r="W101" s="362"/>
      <c r="X101" s="362"/>
      <c r="Y101" s="362"/>
      <c r="Z101" s="362"/>
      <c r="AA101" s="362"/>
      <c r="AB101" s="362"/>
      <c r="AC101" s="359"/>
      <c r="AD101" s="359"/>
      <c r="AE101" s="359"/>
      <c r="AF101" s="359"/>
      <c r="AG101" s="359"/>
      <c r="AH101" s="231"/>
      <c r="AI101" s="231"/>
    </row>
    <row r="102" spans="2:35" ht="6" customHeight="1">
      <c r="B102" s="53"/>
      <c r="C102" s="39"/>
      <c r="D102" s="39"/>
      <c r="E102" s="48"/>
      <c r="F102" s="48"/>
      <c r="G102" s="48"/>
      <c r="H102" s="48"/>
      <c r="I102" s="48"/>
      <c r="J102" s="40"/>
      <c r="K102" s="48"/>
      <c r="L102" s="48"/>
      <c r="M102" s="43"/>
      <c r="N102" s="397"/>
      <c r="O102" s="358"/>
      <c r="P102" s="358"/>
      <c r="Q102" s="437"/>
      <c r="R102" s="437"/>
      <c r="S102" s="437"/>
      <c r="T102" s="437"/>
      <c r="U102" s="358"/>
      <c r="V102" s="362"/>
      <c r="W102" s="362"/>
      <c r="X102" s="362"/>
      <c r="Y102" s="362"/>
      <c r="Z102" s="362"/>
      <c r="AA102" s="362"/>
      <c r="AB102" s="362"/>
      <c r="AC102" s="359"/>
      <c r="AD102" s="359"/>
      <c r="AE102" s="359"/>
      <c r="AF102" s="359"/>
      <c r="AG102" s="359"/>
      <c r="AH102" s="231"/>
      <c r="AI102" s="231"/>
    </row>
    <row r="103" spans="2:35" ht="6" customHeight="1">
      <c r="B103" s="53"/>
      <c r="C103" s="35"/>
      <c r="D103" s="39"/>
      <c r="E103" s="48"/>
      <c r="F103" s="48"/>
      <c r="G103" s="48"/>
      <c r="H103" s="48"/>
      <c r="I103" s="48"/>
      <c r="J103" s="40"/>
      <c r="K103" s="48"/>
      <c r="L103" s="48"/>
      <c r="M103" s="43"/>
      <c r="N103" s="397"/>
      <c r="O103" s="358"/>
      <c r="P103" s="358"/>
      <c r="Q103" s="437"/>
      <c r="R103" s="437"/>
      <c r="S103" s="437"/>
      <c r="T103" s="437"/>
      <c r="U103" s="358"/>
      <c r="V103" s="358"/>
      <c r="W103" s="358"/>
      <c r="X103" s="358"/>
      <c r="Y103" s="358"/>
      <c r="Z103" s="358"/>
      <c r="AA103" s="358"/>
      <c r="AB103" s="358"/>
      <c r="AC103" s="359"/>
      <c r="AD103" s="359"/>
      <c r="AE103" s="359"/>
      <c r="AF103" s="359"/>
      <c r="AG103" s="359"/>
      <c r="AH103" s="231"/>
      <c r="AI103" s="231"/>
    </row>
    <row r="104" spans="2:35" ht="15" customHeight="1">
      <c r="B104" s="53"/>
      <c r="C104" s="476" t="s">
        <v>72</v>
      </c>
      <c r="D104" s="476"/>
      <c r="E104" s="476"/>
      <c r="F104" s="476"/>
      <c r="G104" s="476"/>
      <c r="H104" s="476"/>
      <c r="I104" s="476"/>
      <c r="J104" s="476"/>
      <c r="K104" s="476"/>
      <c r="L104" s="476"/>
      <c r="M104" s="476"/>
      <c r="N104" s="397"/>
      <c r="O104" s="358"/>
      <c r="P104" s="358"/>
      <c r="Q104" s="437"/>
      <c r="R104" s="437"/>
      <c r="S104" s="437"/>
      <c r="T104" s="437"/>
      <c r="U104" s="358"/>
      <c r="V104" s="363"/>
      <c r="W104" s="358"/>
      <c r="X104" s="358"/>
      <c r="Y104" s="358"/>
      <c r="Z104" s="358"/>
      <c r="AA104" s="358"/>
      <c r="AB104" s="358"/>
      <c r="AC104" s="359"/>
      <c r="AD104" s="359"/>
      <c r="AE104" s="359"/>
      <c r="AF104" s="359"/>
      <c r="AG104" s="359"/>
      <c r="AH104" s="231"/>
      <c r="AI104" s="231"/>
    </row>
    <row r="105" spans="2:35" ht="15" customHeight="1">
      <c r="B105" s="53"/>
      <c r="C105" s="46"/>
      <c r="D105" s="46"/>
      <c r="E105" s="106"/>
      <c r="F105" s="106"/>
      <c r="G105" s="106"/>
      <c r="H105" s="106"/>
      <c r="I105" s="106"/>
      <c r="J105" s="41"/>
      <c r="K105" s="42"/>
      <c r="L105" s="43"/>
      <c r="M105" s="43"/>
      <c r="N105" s="397"/>
      <c r="O105" s="358"/>
      <c r="P105" s="358"/>
      <c r="Q105" s="437"/>
      <c r="R105" s="437"/>
      <c r="S105" s="437"/>
      <c r="T105" s="437"/>
      <c r="U105" s="358"/>
      <c r="V105" s="363"/>
      <c r="W105" s="358"/>
      <c r="X105" s="358"/>
      <c r="Y105" s="358"/>
      <c r="Z105" s="358"/>
      <c r="AA105" s="358"/>
      <c r="AB105" s="358"/>
      <c r="AC105" s="359"/>
      <c r="AD105" s="359"/>
      <c r="AE105" s="359"/>
      <c r="AF105" s="359"/>
      <c r="AG105" s="359"/>
      <c r="AH105" s="231"/>
      <c r="AI105" s="231"/>
    </row>
    <row r="106" spans="2:41" ht="50.25" customHeight="1">
      <c r="B106" s="53"/>
      <c r="C106" s="197" t="s">
        <v>73</v>
      </c>
      <c r="D106" s="197" t="s">
        <v>59</v>
      </c>
      <c r="E106" s="198" t="s">
        <v>153</v>
      </c>
      <c r="F106" s="498" t="s">
        <v>74</v>
      </c>
      <c r="G106" s="499"/>
      <c r="H106" s="499"/>
      <c r="I106" s="198" t="s">
        <v>152</v>
      </c>
      <c r="J106" s="198" t="s">
        <v>75</v>
      </c>
      <c r="K106" s="198" t="s">
        <v>154</v>
      </c>
      <c r="L106" s="198" t="s">
        <v>151</v>
      </c>
      <c r="M106" s="342"/>
      <c r="N106" s="397"/>
      <c r="O106" s="358"/>
      <c r="P106" s="358"/>
      <c r="Q106" s="437"/>
      <c r="R106" s="437"/>
      <c r="S106" s="437"/>
      <c r="T106" s="437"/>
      <c r="U106" s="358"/>
      <c r="V106" s="358"/>
      <c r="W106" s="358"/>
      <c r="X106" s="358"/>
      <c r="Y106" s="358"/>
      <c r="Z106" s="358"/>
      <c r="AA106" s="358"/>
      <c r="AB106" s="358"/>
      <c r="AC106" s="359"/>
      <c r="AD106" s="359"/>
      <c r="AE106" s="359"/>
      <c r="AF106" s="359"/>
      <c r="AG106" s="359"/>
      <c r="AH106" s="231"/>
      <c r="AI106" s="231"/>
      <c r="AO106" s="216"/>
    </row>
    <row r="107" spans="2:41" ht="15" customHeight="1">
      <c r="B107" s="53"/>
      <c r="C107" s="199" t="str">
        <f>VLOOKUP($D$108,календарь!$B$3:$C$14,2,0)</f>
        <v>Март</v>
      </c>
      <c r="D107" s="200">
        <f>YEAR($E$10)</f>
        <v>2021</v>
      </c>
      <c r="E107" s="107"/>
      <c r="F107" s="500"/>
      <c r="G107" s="500"/>
      <c r="H107" s="500"/>
      <c r="I107" s="107"/>
      <c r="J107" s="44"/>
      <c r="K107" s="44"/>
      <c r="L107" s="45"/>
      <c r="M107" s="342"/>
      <c r="N107" s="399"/>
      <c r="O107" s="364"/>
      <c r="P107" s="364"/>
      <c r="Q107" s="439"/>
      <c r="R107" s="439"/>
      <c r="S107" s="439"/>
      <c r="T107" s="439"/>
      <c r="U107" s="364"/>
      <c r="V107" s="358"/>
      <c r="W107" s="358"/>
      <c r="X107" s="358"/>
      <c r="Y107" s="358"/>
      <c r="Z107" s="358"/>
      <c r="AA107" s="358"/>
      <c r="AB107" s="358"/>
      <c r="AC107" s="359"/>
      <c r="AD107" s="359"/>
      <c r="AE107" s="359"/>
      <c r="AF107" s="359"/>
      <c r="AG107" s="359"/>
      <c r="AH107" s="231"/>
      <c r="AI107" s="231"/>
      <c r="AO107" s="216"/>
    </row>
    <row r="108" spans="2:41" ht="15" customHeight="1">
      <c r="B108" s="53"/>
      <c r="C108" s="193">
        <f>VLOOKUP($C$107,календарь!$C$3:$D$14,2,0)</f>
        <v>31</v>
      </c>
      <c r="D108" s="194">
        <f>MONTH($E$10)</f>
        <v>3</v>
      </c>
      <c r="E108" s="111">
        <f>IF('Исходные данные'!$U$22="нет",'Исходные данные'!$AL$37,'Исходные данные'!$AL$48)</f>
        <v>7</v>
      </c>
      <c r="F108" s="501">
        <f>IF('Исходные данные'!U22="да",MAX('Исходные данные'!AH48:AK48),MAX('Исходные данные'!AH37:AK37))</f>
        <v>80</v>
      </c>
      <c r="G108" s="501"/>
      <c r="H108" s="501"/>
      <c r="I108" s="286">
        <f>ROUND(V108,2)</f>
        <v>134.9</v>
      </c>
      <c r="J108" s="291"/>
      <c r="K108" s="291"/>
      <c r="L108" s="291"/>
      <c r="M108" s="342"/>
      <c r="N108" s="397"/>
      <c r="O108" s="358"/>
      <c r="P108" s="358"/>
      <c r="Q108" s="437"/>
      <c r="R108" s="437"/>
      <c r="S108" s="437"/>
      <c r="T108" s="437"/>
      <c r="U108" s="365">
        <f>'Исходные данные'!$Z$7</f>
        <v>24.09</v>
      </c>
      <c r="V108" s="365">
        <f>IF(OR('Исходные данные'!$Z$8=2,'Исходные данные'!$Z$8=1),(F108*E108*U108)/100,IF('Исходные данные'!$Z$8=3,(F108*E108*(U108/$C$108))/100,0))</f>
        <v>134.904</v>
      </c>
      <c r="W108" s="358">
        <v>2013</v>
      </c>
      <c r="X108" s="358"/>
      <c r="Y108" s="358"/>
      <c r="Z108" s="358"/>
      <c r="AA108" s="358"/>
      <c r="AB108" s="358"/>
      <c r="AC108" s="359"/>
      <c r="AD108" s="359"/>
      <c r="AE108" s="359"/>
      <c r="AF108" s="359"/>
      <c r="AG108" s="359"/>
      <c r="AH108" s="231"/>
      <c r="AI108" s="231"/>
      <c r="AO108" s="216"/>
    </row>
    <row r="109" spans="2:41" ht="15" customHeight="1">
      <c r="B109" s="53"/>
      <c r="C109" s="201" t="str">
        <f>VLOOKUP($D$109,календарь!$B$3:$C$26,2,1)</f>
        <v>Апрель</v>
      </c>
      <c r="D109" s="195">
        <f>IF('Исходные данные'!$U$22="нет",$D$108+1,MONTH('Исходные данные'!T26)+1)</f>
        <v>4</v>
      </c>
      <c r="E109" s="112">
        <f>IF('Исходные данные'!$U$22="нет",'Исходные данные'!$AL$38,'Исходные данные'!$AL$49)</f>
        <v>0</v>
      </c>
      <c r="F109" s="502">
        <f>IF('Исходные данные'!U22="да",MAX('Исходные данные'!AH49:AK49),MAX('Исходные данные'!AH38:AK38))</f>
        <v>100</v>
      </c>
      <c r="G109" s="502"/>
      <c r="H109" s="502"/>
      <c r="I109" s="287">
        <f>ROUND(V109,2)</f>
        <v>0</v>
      </c>
      <c r="J109" s="292"/>
      <c r="K109" s="292"/>
      <c r="L109" s="292"/>
      <c r="M109" s="342"/>
      <c r="N109" s="397"/>
      <c r="O109" s="358"/>
      <c r="P109" s="358"/>
      <c r="Q109" s="437"/>
      <c r="R109" s="437"/>
      <c r="S109" s="437"/>
      <c r="T109" s="437"/>
      <c r="U109" s="365">
        <f>'Исходные данные'!$Z$7</f>
        <v>24.09</v>
      </c>
      <c r="V109" s="365">
        <f>IF(OR('Исходные данные'!$Z$8=2,'Исходные данные'!$Z$8=1),(F109*E109*U109)/100,IF('Исходные данные'!$Z$8=3,(F109*E109*(U109/$C$108))/100,0))</f>
        <v>0</v>
      </c>
      <c r="W109" s="358">
        <v>2014</v>
      </c>
      <c r="X109" s="358"/>
      <c r="Y109" s="358"/>
      <c r="Z109" s="358"/>
      <c r="AA109" s="358"/>
      <c r="AB109" s="358"/>
      <c r="AC109" s="359"/>
      <c r="AD109" s="359"/>
      <c r="AE109" s="359"/>
      <c r="AF109" s="359"/>
      <c r="AG109" s="359"/>
      <c r="AH109" s="231"/>
      <c r="AI109" s="231"/>
      <c r="AO109" s="216"/>
    </row>
    <row r="110" spans="2:35" ht="15" customHeight="1">
      <c r="B110" s="53"/>
      <c r="C110" s="504" t="s">
        <v>76</v>
      </c>
      <c r="D110" s="505"/>
      <c r="E110" s="109">
        <f>SUM(E108:E109)</f>
        <v>7</v>
      </c>
      <c r="F110" s="493" t="s">
        <v>77</v>
      </c>
      <c r="G110" s="493"/>
      <c r="H110" s="493"/>
      <c r="I110" s="288">
        <f>SUM(I108:I109)</f>
        <v>134.9</v>
      </c>
      <c r="J110" s="288">
        <f>ROUND(U110/2/C108*E110,2)</f>
        <v>0</v>
      </c>
      <c r="K110" s="293">
        <f>ROUND($AB$123,2)</f>
        <v>873.87</v>
      </c>
      <c r="L110" s="294" t="s">
        <v>77</v>
      </c>
      <c r="M110" s="342"/>
      <c r="N110" s="397"/>
      <c r="O110" s="358"/>
      <c r="P110" s="358"/>
      <c r="Q110" s="437"/>
      <c r="R110" s="437"/>
      <c r="S110" s="437"/>
      <c r="T110" s="437"/>
      <c r="U110" s="313">
        <f>VLOOKUP(CONCATENATE($C$107,$D$107),информация!$A$85:$H$143,8,0)</f>
        <v>0</v>
      </c>
      <c r="V110" s="365"/>
      <c r="W110" s="358">
        <v>2015</v>
      </c>
      <c r="X110" s="358"/>
      <c r="Y110" s="358"/>
      <c r="Z110" s="358"/>
      <c r="AA110" s="358"/>
      <c r="AB110" s="358"/>
      <c r="AC110" s="358"/>
      <c r="AD110" s="359"/>
      <c r="AE110" s="359"/>
      <c r="AF110" s="359"/>
      <c r="AG110" s="359"/>
      <c r="AH110" s="231"/>
      <c r="AI110" s="231"/>
    </row>
    <row r="111" spans="2:35" ht="15" customHeight="1">
      <c r="B111" s="53"/>
      <c r="C111" s="199" t="str">
        <f>VLOOKUP($D$112,календарь!$B$3:$C$14,2,0)</f>
        <v>Апрель</v>
      </c>
      <c r="D111" s="200">
        <f>IF($D$108+1&gt;12,$D$107+1,YEAR($E$10))</f>
        <v>2021</v>
      </c>
      <c r="E111" s="108"/>
      <c r="F111" s="491"/>
      <c r="G111" s="491"/>
      <c r="H111" s="491"/>
      <c r="I111" s="289"/>
      <c r="J111" s="295"/>
      <c r="K111" s="295"/>
      <c r="L111" s="296"/>
      <c r="M111" s="342"/>
      <c r="N111" s="397"/>
      <c r="O111" s="358"/>
      <c r="P111" s="358"/>
      <c r="Q111" s="437"/>
      <c r="R111" s="437"/>
      <c r="S111" s="437"/>
      <c r="T111" s="437"/>
      <c r="U111" s="366"/>
      <c r="V111" s="365"/>
      <c r="W111" s="358">
        <v>2016</v>
      </c>
      <c r="X111" s="358"/>
      <c r="Y111" s="358"/>
      <c r="Z111" s="358"/>
      <c r="AA111" s="358"/>
      <c r="AB111" s="358"/>
      <c r="AC111" s="358"/>
      <c r="AD111" s="359"/>
      <c r="AE111" s="359"/>
      <c r="AF111" s="359"/>
      <c r="AG111" s="359"/>
      <c r="AH111" s="231"/>
      <c r="AI111" s="231"/>
    </row>
    <row r="112" spans="2:35" ht="15" customHeight="1">
      <c r="B112" s="53"/>
      <c r="C112" s="193">
        <f>VLOOKUP($C$111,календарь!$C$3:$D$14,2,0)</f>
        <v>30</v>
      </c>
      <c r="D112" s="196">
        <f>IF(D108=12,1,D108+1)</f>
        <v>4</v>
      </c>
      <c r="E112" s="111">
        <f>IF('Исходные данные'!$U$22="нет",'Исходные данные'!$AL$40,'Исходные данные'!$AL$51)</f>
        <v>0</v>
      </c>
      <c r="F112" s="501">
        <f>IF('Исходные данные'!U22="да",MAX('Исходные данные'!AH51:AK51),MAX('Исходные данные'!AH40:AK40))</f>
        <v>80</v>
      </c>
      <c r="G112" s="501"/>
      <c r="H112" s="501"/>
      <c r="I112" s="286">
        <f>ROUND(V112,2)</f>
        <v>0</v>
      </c>
      <c r="J112" s="291"/>
      <c r="K112" s="297"/>
      <c r="L112" s="291"/>
      <c r="M112" s="342"/>
      <c r="N112" s="397"/>
      <c r="O112" s="358"/>
      <c r="P112" s="358"/>
      <c r="Q112" s="437"/>
      <c r="R112" s="437"/>
      <c r="S112" s="437"/>
      <c r="T112" s="437"/>
      <c r="U112" s="365">
        <f>'Исходные данные'!$Z$7</f>
        <v>24.09</v>
      </c>
      <c r="V112" s="365">
        <f>IF(OR('Исходные данные'!$Z$8=2,'Исходные данные'!$Z$8=1),(F112*E112*U112)/100,IF('Исходные данные'!$Z$8=3,(F112*E112*(U112/$C$112))/100,0))</f>
        <v>0</v>
      </c>
      <c r="W112" s="358">
        <v>2017</v>
      </c>
      <c r="X112" s="358"/>
      <c r="Y112" s="358"/>
      <c r="Z112" s="358"/>
      <c r="AA112" s="358"/>
      <c r="AB112" s="358"/>
      <c r="AC112" s="358"/>
      <c r="AD112" s="359"/>
      <c r="AE112" s="359"/>
      <c r="AF112" s="359"/>
      <c r="AG112" s="359"/>
      <c r="AH112" s="231"/>
      <c r="AI112" s="231"/>
    </row>
    <row r="113" spans="2:35" ht="15" customHeight="1">
      <c r="B113" s="53"/>
      <c r="C113" s="193"/>
      <c r="D113" s="194"/>
      <c r="E113" s="112">
        <f>IF('Исходные данные'!$U$22="нет",'Исходные данные'!$AL$41,'Исходные данные'!$AL$52)</f>
        <v>0</v>
      </c>
      <c r="F113" s="502">
        <f>IF('Исходные данные'!U22="да",MAX('Исходные данные'!AH52:AK52),MAX('Исходные данные'!AH41:AK41))</f>
        <v>100</v>
      </c>
      <c r="G113" s="502"/>
      <c r="H113" s="502"/>
      <c r="I113" s="287">
        <f>ROUND(V113,2)</f>
        <v>0</v>
      </c>
      <c r="J113" s="292"/>
      <c r="K113" s="298"/>
      <c r="L113" s="292"/>
      <c r="M113" s="342"/>
      <c r="N113" s="397"/>
      <c r="O113" s="358"/>
      <c r="P113" s="358"/>
      <c r="Q113" s="437"/>
      <c r="R113" s="437"/>
      <c r="S113" s="437"/>
      <c r="T113" s="437"/>
      <c r="U113" s="365">
        <f>'Исходные данные'!$Z$7</f>
        <v>24.09</v>
      </c>
      <c r="V113" s="365">
        <f>IF(OR('Исходные данные'!$Z$8=2,'Исходные данные'!$Z$8=1),(F113*E113*U113)/100,IF('Исходные данные'!$Z$8=3,(F113*E113*(U113/$C$112))/100,0))</f>
        <v>0</v>
      </c>
      <c r="W113" s="358">
        <v>2018</v>
      </c>
      <c r="X113" s="358"/>
      <c r="Y113" s="358"/>
      <c r="Z113" s="358"/>
      <c r="AA113" s="358"/>
      <c r="AB113" s="358"/>
      <c r="AC113" s="359"/>
      <c r="AD113" s="359"/>
      <c r="AE113" s="359"/>
      <c r="AF113" s="359"/>
      <c r="AG113" s="359"/>
      <c r="AH113" s="231"/>
      <c r="AI113" s="231"/>
    </row>
    <row r="114" spans="2:35" ht="15" customHeight="1">
      <c r="B114" s="53"/>
      <c r="C114" s="506" t="s">
        <v>76</v>
      </c>
      <c r="D114" s="507"/>
      <c r="E114" s="109">
        <f>SUM(E112:E113)</f>
        <v>0</v>
      </c>
      <c r="F114" s="493" t="s">
        <v>77</v>
      </c>
      <c r="G114" s="493"/>
      <c r="H114" s="493"/>
      <c r="I114" s="288">
        <f>SUM(I112:I113)</f>
        <v>0</v>
      </c>
      <c r="J114" s="288">
        <f>ROUND(U114/2/C112*E114,2)</f>
        <v>0</v>
      </c>
      <c r="K114" s="293">
        <f>ROUND($AB$124,2)</f>
        <v>0</v>
      </c>
      <c r="L114" s="294" t="s">
        <v>77</v>
      </c>
      <c r="M114" s="342"/>
      <c r="N114" s="397"/>
      <c r="O114" s="358"/>
      <c r="P114" s="358"/>
      <c r="Q114" s="437"/>
      <c r="R114" s="437"/>
      <c r="S114" s="437"/>
      <c r="T114" s="437"/>
      <c r="U114" s="313">
        <f>VLOOKUP(CONCATENATE($C$111,$D$111),информация!$A$85:$H$143,8,0)</f>
        <v>0</v>
      </c>
      <c r="V114" s="365"/>
      <c r="W114" s="358">
        <v>2019</v>
      </c>
      <c r="X114" s="358"/>
      <c r="Y114" s="358"/>
      <c r="Z114" s="358"/>
      <c r="AA114" s="358"/>
      <c r="AB114" s="358"/>
      <c r="AC114" s="359"/>
      <c r="AD114" s="359"/>
      <c r="AE114" s="359"/>
      <c r="AF114" s="359"/>
      <c r="AG114" s="359"/>
      <c r="AH114" s="231"/>
      <c r="AI114" s="231"/>
    </row>
    <row r="115" spans="2:35" ht="15" customHeight="1">
      <c r="B115" s="53"/>
      <c r="C115" s="199" t="str">
        <f>VLOOKUP($D$116,календарь!$B$3:$C$14,2,0)</f>
        <v>Май</v>
      </c>
      <c r="D115" s="200">
        <f>IF($D$112+1&gt;12,$D$111+1,D111)</f>
        <v>2021</v>
      </c>
      <c r="E115" s="108"/>
      <c r="F115" s="491"/>
      <c r="G115" s="491"/>
      <c r="H115" s="491"/>
      <c r="I115" s="289"/>
      <c r="J115" s="295"/>
      <c r="K115" s="295"/>
      <c r="L115" s="296"/>
      <c r="M115" s="342"/>
      <c r="N115" s="397"/>
      <c r="O115" s="358"/>
      <c r="P115" s="358"/>
      <c r="Q115" s="437"/>
      <c r="R115" s="437"/>
      <c r="S115" s="437"/>
      <c r="T115" s="437"/>
      <c r="U115" s="366"/>
      <c r="V115" s="365"/>
      <c r="W115" s="358">
        <v>2020</v>
      </c>
      <c r="X115" s="358"/>
      <c r="Y115" s="358"/>
      <c r="Z115" s="358"/>
      <c r="AA115" s="358"/>
      <c r="AB115" s="358"/>
      <c r="AC115" s="359"/>
      <c r="AD115" s="359"/>
      <c r="AE115" s="359"/>
      <c r="AF115" s="359"/>
      <c r="AG115" s="359"/>
      <c r="AH115" s="231"/>
      <c r="AI115" s="231"/>
    </row>
    <row r="116" spans="2:35" ht="15" customHeight="1">
      <c r="B116" s="53"/>
      <c r="C116" s="193">
        <f>VLOOKUP($C$115,календарь!$C$3:$D$14,2,0)</f>
        <v>31</v>
      </c>
      <c r="D116" s="196">
        <f>IF(D112=12,1,D112+1)</f>
        <v>5</v>
      </c>
      <c r="E116" s="109">
        <f>IF('Исходные данные'!$U$22="нет",'Исходные данные'!$AL$43,'Исходные данные'!$AL$54)</f>
        <v>0</v>
      </c>
      <c r="F116" s="492">
        <f>IF('Исходные данные'!U22="да",MAX('Исходные данные'!AH54:AK54),MAX('Исходные данные'!AH43:AK43))</f>
        <v>100</v>
      </c>
      <c r="G116" s="492"/>
      <c r="H116" s="492"/>
      <c r="I116" s="288">
        <f>ROUND(V116,2)</f>
        <v>0</v>
      </c>
      <c r="J116" s="299"/>
      <c r="K116" s="300"/>
      <c r="L116" s="299"/>
      <c r="M116" s="342"/>
      <c r="N116" s="399"/>
      <c r="O116" s="364"/>
      <c r="P116" s="364"/>
      <c r="Q116" s="439"/>
      <c r="R116" s="439"/>
      <c r="S116" s="439"/>
      <c r="T116" s="439"/>
      <c r="U116" s="365">
        <f>'Исходные данные'!$Z$7</f>
        <v>24.09</v>
      </c>
      <c r="V116" s="365">
        <f>IF(OR('Исходные данные'!$Z$8=2,'Исходные данные'!$Z$8=1),(F116*E116*U116)/100,IF('Исходные данные'!$Z$8=3,(F116*E116*(U116/$C$116))/100,0))</f>
        <v>0</v>
      </c>
      <c r="W116" s="358"/>
      <c r="X116" s="358"/>
      <c r="Y116" s="358"/>
      <c r="Z116" s="358"/>
      <c r="AA116" s="358"/>
      <c r="AB116" s="358"/>
      <c r="AC116" s="359"/>
      <c r="AD116" s="359"/>
      <c r="AE116" s="359"/>
      <c r="AF116" s="359"/>
      <c r="AG116" s="359"/>
      <c r="AH116" s="231"/>
      <c r="AI116" s="231"/>
    </row>
    <row r="117" spans="2:21" ht="15" customHeight="1">
      <c r="B117" s="53"/>
      <c r="C117" s="460" t="s">
        <v>76</v>
      </c>
      <c r="D117" s="462"/>
      <c r="E117" s="109">
        <f>SUM(E116:E116)</f>
        <v>0</v>
      </c>
      <c r="F117" s="493" t="s">
        <v>77</v>
      </c>
      <c r="G117" s="493"/>
      <c r="H117" s="493"/>
      <c r="I117" s="288">
        <f>SUM(I116)</f>
        <v>0</v>
      </c>
      <c r="J117" s="288">
        <f>ROUND(U117/2/C116*E117,2)</f>
        <v>0</v>
      </c>
      <c r="K117" s="293">
        <f>ROUND($AB$125,2)</f>
        <v>0</v>
      </c>
      <c r="L117" s="294" t="s">
        <v>77</v>
      </c>
      <c r="M117" s="342"/>
      <c r="N117" s="396"/>
      <c r="O117" s="313"/>
      <c r="U117" s="313">
        <f>VLOOKUP(CONCATENATE($C$115,$D$115),информация!$A$85:$H$143,8,0)</f>
        <v>0</v>
      </c>
    </row>
    <row r="118" spans="1:57" s="237" customFormat="1" ht="15" customHeight="1">
      <c r="A118" s="51"/>
      <c r="B118" s="58"/>
      <c r="C118" s="460" t="s">
        <v>78</v>
      </c>
      <c r="D118" s="462"/>
      <c r="E118" s="110">
        <f>E110+E114+E117</f>
        <v>7</v>
      </c>
      <c r="F118" s="493"/>
      <c r="G118" s="493"/>
      <c r="H118" s="493"/>
      <c r="I118" s="290">
        <f>SUM(I110,I114,I117)</f>
        <v>134.9</v>
      </c>
      <c r="J118" s="290">
        <f>J110+J114+J117</f>
        <v>0</v>
      </c>
      <c r="K118" s="290">
        <f>K110+K114+K117</f>
        <v>873.87</v>
      </c>
      <c r="L118" s="290">
        <f>IF(I118&gt;=K118,K118,IF(I118&lt;=J118,J118,I118))</f>
        <v>134.9</v>
      </c>
      <c r="M118" s="343"/>
      <c r="N118" s="400"/>
      <c r="O118" s="367"/>
      <c r="P118" s="367"/>
      <c r="Q118" s="440"/>
      <c r="R118" s="440"/>
      <c r="S118" s="440"/>
      <c r="T118" s="440"/>
      <c r="U118" s="367"/>
      <c r="V118" s="367"/>
      <c r="W118" s="367"/>
      <c r="X118" s="367"/>
      <c r="Y118" s="367"/>
      <c r="Z118" s="367"/>
      <c r="AA118" s="367"/>
      <c r="AB118" s="367"/>
      <c r="AH118" s="232"/>
      <c r="AI118" s="232"/>
      <c r="AJ118" s="232"/>
      <c r="AK118" s="232"/>
      <c r="AL118" s="232"/>
      <c r="AM118" s="228"/>
      <c r="AN118" s="228"/>
      <c r="AO118" s="228"/>
      <c r="AP118" s="228"/>
      <c r="AQ118" s="228"/>
      <c r="AR118" s="228"/>
      <c r="AS118" s="228"/>
      <c r="AT118" s="228"/>
      <c r="AU118" s="228"/>
      <c r="AV118" s="228"/>
      <c r="AW118" s="228"/>
      <c r="AX118" s="228"/>
      <c r="AY118" s="228"/>
      <c r="AZ118" s="228"/>
      <c r="BA118" s="228"/>
      <c r="BB118" s="228"/>
      <c r="BC118" s="228"/>
      <c r="BD118" s="228"/>
      <c r="BE118" s="228"/>
    </row>
    <row r="119" spans="1:57" s="237" customFormat="1" ht="15" customHeight="1">
      <c r="A119" s="51"/>
      <c r="B119" s="58"/>
      <c r="C119" s="508" t="s">
        <v>79</v>
      </c>
      <c r="D119" s="508"/>
      <c r="E119" s="508"/>
      <c r="F119" s="508"/>
      <c r="G119" s="508"/>
      <c r="H119" s="508"/>
      <c r="I119" s="508"/>
      <c r="J119" s="508"/>
      <c r="K119" s="509"/>
      <c r="L119" s="39"/>
      <c r="M119" s="155"/>
      <c r="N119" s="396"/>
      <c r="O119" s="313"/>
      <c r="P119" s="313"/>
      <c r="Q119" s="432"/>
      <c r="R119" s="432"/>
      <c r="S119" s="432"/>
      <c r="T119" s="432"/>
      <c r="U119" s="313"/>
      <c r="V119" s="495"/>
      <c r="W119" s="495"/>
      <c r="X119" s="495"/>
      <c r="Y119" s="495"/>
      <c r="Z119" s="495"/>
      <c r="AA119" s="495"/>
      <c r="AB119" s="495"/>
      <c r="AC119" s="313"/>
      <c r="AH119" s="232"/>
      <c r="AI119" s="232"/>
      <c r="AJ119" s="232"/>
      <c r="AK119" s="232"/>
      <c r="AL119" s="232"/>
      <c r="AM119" s="228"/>
      <c r="AN119" s="228"/>
      <c r="AO119" s="228"/>
      <c r="AP119" s="228"/>
      <c r="AQ119" s="228"/>
      <c r="AR119" s="228"/>
      <c r="AS119" s="228"/>
      <c r="AT119" s="228"/>
      <c r="AU119" s="228"/>
      <c r="AV119" s="228"/>
      <c r="AW119" s="228"/>
      <c r="AX119" s="228"/>
      <c r="AY119" s="228"/>
      <c r="AZ119" s="228"/>
      <c r="BA119" s="228"/>
      <c r="BB119" s="228"/>
      <c r="BC119" s="228"/>
      <c r="BD119" s="228"/>
      <c r="BE119" s="228"/>
    </row>
    <row r="120" spans="2:29" ht="15" customHeight="1">
      <c r="B120" s="53"/>
      <c r="C120" s="496" t="str">
        <f>IF(C133=1,V155,AG155)</f>
        <v>Сто тридцать четыре белорусских рубля 90 копеек.</v>
      </c>
      <c r="D120" s="496"/>
      <c r="E120" s="496"/>
      <c r="F120" s="496"/>
      <c r="G120" s="496"/>
      <c r="H120" s="496"/>
      <c r="I120" s="496"/>
      <c r="J120" s="496"/>
      <c r="K120" s="496"/>
      <c r="L120" s="496"/>
      <c r="M120" s="43"/>
      <c r="N120" s="396"/>
      <c r="O120" s="313"/>
      <c r="V120" s="497"/>
      <c r="W120" s="497"/>
      <c r="X120" s="497"/>
      <c r="Y120" s="497"/>
      <c r="Z120" s="497"/>
      <c r="AA120" s="497"/>
      <c r="AB120" s="497"/>
      <c r="AC120" s="313"/>
    </row>
    <row r="121" spans="2:29" ht="12" customHeight="1">
      <c r="B121" s="53"/>
      <c r="C121" s="489" t="s">
        <v>80</v>
      </c>
      <c r="D121" s="489"/>
      <c r="E121" s="489"/>
      <c r="F121" s="489"/>
      <c r="G121" s="489"/>
      <c r="H121" s="489"/>
      <c r="I121" s="489"/>
      <c r="J121" s="489"/>
      <c r="K121" s="489"/>
      <c r="L121" s="489"/>
      <c r="M121" s="43"/>
      <c r="N121" s="396"/>
      <c r="O121" s="313"/>
      <c r="V121" s="497"/>
      <c r="W121" s="497"/>
      <c r="X121" s="497"/>
      <c r="Y121" s="497"/>
      <c r="Z121" s="497"/>
      <c r="AA121" s="497"/>
      <c r="AB121" s="497"/>
      <c r="AC121" s="313"/>
    </row>
    <row r="122" spans="2:29" ht="12" customHeight="1">
      <c r="B122" s="53"/>
      <c r="C122" s="33" t="s">
        <v>81</v>
      </c>
      <c r="D122" s="33"/>
      <c r="E122" s="33"/>
      <c r="F122" s="33"/>
      <c r="G122" s="490"/>
      <c r="H122" s="490"/>
      <c r="I122" s="490"/>
      <c r="J122" s="33" t="s">
        <v>57</v>
      </c>
      <c r="K122" s="33"/>
      <c r="L122" s="33"/>
      <c r="M122" s="43"/>
      <c r="N122" s="396"/>
      <c r="O122" s="313"/>
      <c r="U122" s="313">
        <f>MONTH($E$11)</f>
        <v>3</v>
      </c>
      <c r="V122" s="497"/>
      <c r="W122" s="497"/>
      <c r="X122" s="497"/>
      <c r="Y122" s="497"/>
      <c r="Z122" s="497"/>
      <c r="AA122" s="497"/>
      <c r="AB122" s="497"/>
      <c r="AC122" s="313"/>
    </row>
    <row r="123" spans="2:29" ht="12" customHeight="1">
      <c r="B123" s="53"/>
      <c r="C123" s="33"/>
      <c r="D123" s="33"/>
      <c r="E123" s="33"/>
      <c r="F123" s="33"/>
      <c r="G123" s="489" t="s">
        <v>82</v>
      </c>
      <c r="H123" s="489"/>
      <c r="I123" s="489"/>
      <c r="J123" s="33"/>
      <c r="K123" s="33"/>
      <c r="L123" s="33"/>
      <c r="M123" s="43"/>
      <c r="N123" s="396"/>
      <c r="O123" s="313"/>
      <c r="U123" s="313" t="str">
        <f>IF(U122="","",VLOOKUP(U122,календарь!$B$3:$C$14,2,0))</f>
        <v>Март</v>
      </c>
      <c r="V123" s="368" t="str">
        <f>IF(AND($C$107="",$C$109=""),"",IF(U123="",VLOOKUP($C$107,календарь!$C$3:$E$14,3,0),VLOOKUP(U123,календарь!$C$3:$E$14,3,0)))</f>
        <v>Февраль</v>
      </c>
      <c r="W123" s="369">
        <f>IF($C$107="","",IF($C$107="Январь",$D$107-1,$D$107))</f>
        <v>2021</v>
      </c>
      <c r="X123" s="370">
        <f>IF(V123="","",VLOOKUP(AC123,календарь!$F$3:$H$63,2,0))</f>
        <v>1290</v>
      </c>
      <c r="Y123" s="355" t="str">
        <f>$C$107</f>
        <v>Март</v>
      </c>
      <c r="Z123" s="371">
        <f>VLOOKUP(Y123,календарь!$C$3:$D$14,2,0)</f>
        <v>31</v>
      </c>
      <c r="AA123" s="355">
        <f>$E$110</f>
        <v>7</v>
      </c>
      <c r="AB123" s="372">
        <f>IF(Z123&gt;0,ROUND(X123*3/Z123*AA123,2),0)</f>
        <v>873.87</v>
      </c>
      <c r="AC123" s="357" t="str">
        <f>CONCATENATE(V123,W123)</f>
        <v>Февраль2021</v>
      </c>
    </row>
    <row r="124" spans="2:29" ht="12" customHeight="1">
      <c r="B124" s="53"/>
      <c r="C124" s="33"/>
      <c r="D124" s="33"/>
      <c r="E124" s="33"/>
      <c r="F124" s="33"/>
      <c r="G124" s="33"/>
      <c r="H124" s="33"/>
      <c r="I124" s="33"/>
      <c r="J124" s="33"/>
      <c r="K124" s="33"/>
      <c r="L124" s="33"/>
      <c r="M124" s="43"/>
      <c r="N124" s="401"/>
      <c r="O124" s="368"/>
      <c r="P124" s="368"/>
      <c r="Q124" s="441"/>
      <c r="R124" s="441"/>
      <c r="S124" s="441"/>
      <c r="T124" s="441"/>
      <c r="U124" s="368"/>
      <c r="V124" s="368" t="str">
        <f>V123</f>
        <v>Февраль</v>
      </c>
      <c r="W124" s="369">
        <f>IF($C$111="","",IF($C$111="Январь",$D$111-1,$D$111))</f>
        <v>2021</v>
      </c>
      <c r="X124" s="370">
        <f>IF(V124="","",VLOOKUP(AC124,календарь!$F$3:$H$63,2,0))</f>
        <v>1290</v>
      </c>
      <c r="Y124" s="355" t="str">
        <f>$C$111</f>
        <v>Апрель</v>
      </c>
      <c r="Z124" s="371">
        <f>VLOOKUP(Y124,календарь!$C$3:$D$14,2,0)</f>
        <v>30</v>
      </c>
      <c r="AA124" s="355">
        <f>$E$114</f>
        <v>0</v>
      </c>
      <c r="AB124" s="373">
        <f>IF(Z124&gt;0,ROUND(X124*3/Z124*AA124,2),0)</f>
        <v>0</v>
      </c>
      <c r="AC124" s="357" t="str">
        <f>CONCATENATE(V124,W124)</f>
        <v>Февраль2021</v>
      </c>
    </row>
    <row r="125" spans="2:29" ht="12" customHeight="1">
      <c r="B125" s="53"/>
      <c r="C125" s="494" t="s">
        <v>175</v>
      </c>
      <c r="D125" s="494"/>
      <c r="E125" s="494"/>
      <c r="F125" s="494"/>
      <c r="G125" s="174"/>
      <c r="H125" s="451"/>
      <c r="I125" s="451"/>
      <c r="J125" s="174"/>
      <c r="K125" s="494" t="s">
        <v>176</v>
      </c>
      <c r="L125" s="494"/>
      <c r="M125" s="43"/>
      <c r="N125" s="401"/>
      <c r="O125" s="368"/>
      <c r="P125" s="368"/>
      <c r="Q125" s="441"/>
      <c r="R125" s="441"/>
      <c r="S125" s="441"/>
      <c r="T125" s="441"/>
      <c r="U125" s="368"/>
      <c r="V125" s="368" t="str">
        <f>V123</f>
        <v>Февраль</v>
      </c>
      <c r="W125" s="369">
        <f>IF($C$115="","",IF($C$115="Январь",$D$115-1,$D$115))</f>
        <v>2021</v>
      </c>
      <c r="X125" s="370">
        <f>IF(V125="","",VLOOKUP(AC125,календарь!$F$3:$H$63,2,0))</f>
        <v>1290</v>
      </c>
      <c r="Y125" s="355" t="str">
        <f>$C$115</f>
        <v>Май</v>
      </c>
      <c r="Z125" s="371">
        <f>VLOOKUP(Y125,календарь!$C$3:$D$14,2,0)</f>
        <v>31</v>
      </c>
      <c r="AA125" s="355">
        <f>$E$117</f>
        <v>0</v>
      </c>
      <c r="AB125" s="372">
        <f>IF(Z125&gt;0,ROUND(X125*3/Z125*AA125,2),0)</f>
        <v>0</v>
      </c>
      <c r="AC125" s="357" t="str">
        <f>CONCATENATE(V125,W125)</f>
        <v>Февраль2021</v>
      </c>
    </row>
    <row r="126" spans="2:29" ht="12" customHeight="1">
      <c r="B126" s="53"/>
      <c r="C126" s="503" t="s">
        <v>155</v>
      </c>
      <c r="D126" s="503"/>
      <c r="E126" s="503"/>
      <c r="F126" s="503"/>
      <c r="G126" s="32"/>
      <c r="H126" s="503" t="s">
        <v>156</v>
      </c>
      <c r="I126" s="503"/>
      <c r="J126" s="32"/>
      <c r="K126" s="503" t="s">
        <v>157</v>
      </c>
      <c r="L126" s="503"/>
      <c r="M126" s="43"/>
      <c r="N126" s="396"/>
      <c r="O126" s="313"/>
      <c r="AC126" s="313"/>
    </row>
    <row r="127" spans="2:15" ht="12" customHeight="1">
      <c r="B127" s="53"/>
      <c r="C127" s="113">
        <f ca="1">TODAY()</f>
        <v>44272</v>
      </c>
      <c r="D127" s="43"/>
      <c r="E127" s="43"/>
      <c r="F127" s="43"/>
      <c r="G127" s="43"/>
      <c r="H127" s="43"/>
      <c r="I127" s="43"/>
      <c r="J127" s="43"/>
      <c r="K127" s="43"/>
      <c r="L127" s="43"/>
      <c r="M127" s="43"/>
      <c r="N127" s="396"/>
      <c r="O127" s="313"/>
    </row>
    <row r="128" spans="1:15" ht="12" customHeight="1" thickBot="1">
      <c r="A128" s="50"/>
      <c r="B128" s="59"/>
      <c r="C128" s="60"/>
      <c r="D128" s="60"/>
      <c r="E128" s="60"/>
      <c r="F128" s="60"/>
      <c r="G128" s="60"/>
      <c r="H128" s="60"/>
      <c r="I128" s="60"/>
      <c r="J128" s="60"/>
      <c r="K128" s="60"/>
      <c r="L128" s="60"/>
      <c r="M128" s="344"/>
      <c r="N128" s="402"/>
      <c r="O128" s="313"/>
    </row>
    <row r="129" spans="1:12" ht="12" customHeight="1">
      <c r="A129" s="236"/>
      <c r="B129" s="236"/>
      <c r="C129" s="236"/>
      <c r="D129" s="236"/>
      <c r="E129" s="236"/>
      <c r="F129" s="236"/>
      <c r="G129" s="312"/>
      <c r="H129" s="312"/>
      <c r="I129" s="236"/>
      <c r="J129" s="236"/>
      <c r="K129" s="236"/>
      <c r="L129" s="236"/>
    </row>
    <row r="130" spans="1:13" ht="12" customHeight="1" hidden="1">
      <c r="A130" s="236"/>
      <c r="B130" s="236"/>
      <c r="C130" s="313"/>
      <c r="D130" s="313"/>
      <c r="E130" s="313"/>
      <c r="F130" s="313"/>
      <c r="G130" s="313"/>
      <c r="H130" s="313"/>
      <c r="I130" s="313"/>
      <c r="J130" s="313"/>
      <c r="K130" s="313"/>
      <c r="L130" s="313"/>
      <c r="M130" s="313"/>
    </row>
    <row r="131" spans="1:13" ht="12" customHeight="1" hidden="1">
      <c r="A131" s="236"/>
      <c r="B131" s="236"/>
      <c r="C131" s="313"/>
      <c r="D131" s="313"/>
      <c r="E131" s="313"/>
      <c r="F131" s="313"/>
      <c r="G131" s="313"/>
      <c r="H131" s="313"/>
      <c r="I131" s="313"/>
      <c r="J131" s="313"/>
      <c r="K131" s="313"/>
      <c r="L131" s="313"/>
      <c r="M131" s="313"/>
    </row>
    <row r="132" spans="1:13" ht="12" customHeight="1" hidden="1">
      <c r="A132" s="236"/>
      <c r="B132" s="236"/>
      <c r="C132" s="314"/>
      <c r="D132" s="314"/>
      <c r="E132" s="314"/>
      <c r="F132" s="314"/>
      <c r="G132" s="313"/>
      <c r="H132" s="313"/>
      <c r="I132" s="313"/>
      <c r="J132" s="313"/>
      <c r="K132" s="313"/>
      <c r="L132" s="313"/>
      <c r="M132" s="313"/>
    </row>
    <row r="133" spans="1:13" ht="12" customHeight="1" hidden="1">
      <c r="A133" s="236"/>
      <c r="B133" s="236"/>
      <c r="C133" s="315">
        <v>2</v>
      </c>
      <c r="D133" s="315">
        <v>1</v>
      </c>
      <c r="E133" s="316"/>
      <c r="F133" s="316"/>
      <c r="G133" s="313"/>
      <c r="H133" s="313"/>
      <c r="I133" s="313"/>
      <c r="J133" s="313"/>
      <c r="K133" s="313"/>
      <c r="L133" s="313"/>
      <c r="M133" s="313"/>
    </row>
    <row r="134" spans="1:13" ht="12" customHeight="1" hidden="1">
      <c r="A134" s="236"/>
      <c r="B134" s="236"/>
      <c r="C134" s="315"/>
      <c r="D134" s="315">
        <v>2</v>
      </c>
      <c r="E134" s="313"/>
      <c r="F134" s="313"/>
      <c r="G134" s="313"/>
      <c r="H134" s="313"/>
      <c r="I134" s="313"/>
      <c r="J134" s="313"/>
      <c r="K134" s="313"/>
      <c r="L134" s="313"/>
      <c r="M134" s="313"/>
    </row>
    <row r="135" spans="1:13" ht="12" customHeight="1" hidden="1">
      <c r="A135" s="236"/>
      <c r="B135" s="236"/>
      <c r="C135" s="236"/>
      <c r="D135" s="236"/>
      <c r="E135" s="236"/>
      <c r="F135" s="236"/>
      <c r="G135" s="236"/>
      <c r="H135" s="236"/>
      <c r="I135" s="236"/>
      <c r="J135" s="236"/>
      <c r="K135" s="236"/>
      <c r="L135" s="236"/>
      <c r="M135" s="236"/>
    </row>
    <row r="136" spans="1:13" ht="12" customHeight="1" hidden="1">
      <c r="A136" s="236"/>
      <c r="B136" s="236"/>
      <c r="C136" s="236"/>
      <c r="D136" s="236"/>
      <c r="E136" s="236"/>
      <c r="F136" s="236"/>
      <c r="G136" s="236"/>
      <c r="H136" s="236"/>
      <c r="I136" s="236"/>
      <c r="J136" s="236"/>
      <c r="K136" s="236"/>
      <c r="L136" s="236"/>
      <c r="M136" s="236"/>
    </row>
    <row r="137" spans="17:39" s="317" customFormat="1" ht="12" customHeight="1" hidden="1">
      <c r="Q137" s="442"/>
      <c r="R137" s="443"/>
      <c r="S137" s="443"/>
      <c r="T137" s="443"/>
      <c r="U137" s="318"/>
      <c r="V137" s="318"/>
      <c r="W137" s="318"/>
      <c r="X137" s="318"/>
      <c r="Y137" s="318"/>
      <c r="Z137" s="318"/>
      <c r="AA137" s="318"/>
      <c r="AB137" s="318"/>
      <c r="AC137" s="318"/>
      <c r="AD137" s="318"/>
      <c r="AE137" s="318"/>
      <c r="AF137" s="318"/>
      <c r="AG137" s="318"/>
      <c r="AH137" s="318"/>
      <c r="AI137" s="318"/>
      <c r="AJ137" s="318"/>
      <c r="AK137" s="318"/>
      <c r="AL137" s="318"/>
      <c r="AM137" s="318"/>
    </row>
    <row r="138" spans="17:39" s="317" customFormat="1" ht="12" customHeight="1" hidden="1">
      <c r="Q138" s="442"/>
      <c r="R138" s="443"/>
      <c r="S138" s="443"/>
      <c r="T138" s="443"/>
      <c r="U138" s="318"/>
      <c r="V138" s="318"/>
      <c r="W138" s="318"/>
      <c r="X138" s="318"/>
      <c r="Y138" s="318"/>
      <c r="Z138" s="318"/>
      <c r="AA138" s="318"/>
      <c r="AB138" s="318"/>
      <c r="AC138" s="318"/>
      <c r="AD138" s="318"/>
      <c r="AE138" s="318"/>
      <c r="AF138" s="318"/>
      <c r="AG138" s="319">
        <f>INT(AH138)</f>
        <v>134</v>
      </c>
      <c r="AH138" s="319">
        <f>L118</f>
        <v>134.9</v>
      </c>
      <c r="AI138" s="318"/>
      <c r="AJ138" s="318"/>
      <c r="AK138" s="318"/>
      <c r="AL138" s="318"/>
      <c r="AM138" s="318"/>
    </row>
    <row r="139" spans="17:39" s="317" customFormat="1" ht="12" customHeight="1" hidden="1">
      <c r="Q139" s="442"/>
      <c r="R139" s="443"/>
      <c r="S139" s="443"/>
      <c r="T139" s="443"/>
      <c r="U139" s="318"/>
      <c r="V139" s="318"/>
      <c r="W139" s="318"/>
      <c r="X139" s="318"/>
      <c r="Y139" s="318"/>
      <c r="Z139" s="318"/>
      <c r="AA139" s="318"/>
      <c r="AB139" s="318"/>
      <c r="AC139" s="318"/>
      <c r="AD139" s="318"/>
      <c r="AE139" s="318"/>
      <c r="AF139" s="318">
        <v>1</v>
      </c>
      <c r="AG139" s="320">
        <f>AG138-INT(AG138/10)*10</f>
        <v>4</v>
      </c>
      <c r="AH139" s="319">
        <f>ROUND((AH138-AG138)*100,0)</f>
        <v>90</v>
      </c>
      <c r="AI139" s="318"/>
      <c r="AJ139" s="318"/>
      <c r="AK139" s="318"/>
      <c r="AL139" s="318"/>
      <c r="AM139" s="318"/>
    </row>
    <row r="140" spans="17:39" s="317" customFormat="1" ht="12" customHeight="1" hidden="1">
      <c r="Q140" s="442"/>
      <c r="R140" s="443"/>
      <c r="S140" s="443"/>
      <c r="T140" s="443"/>
      <c r="U140" s="318"/>
      <c r="V140" s="318"/>
      <c r="W140" s="318"/>
      <c r="X140" s="318"/>
      <c r="Y140" s="318"/>
      <c r="Z140" s="318"/>
      <c r="AA140" s="318"/>
      <c r="AB140" s="318"/>
      <c r="AC140" s="318"/>
      <c r="AD140" s="318"/>
      <c r="AE140" s="318"/>
      <c r="AF140" s="318">
        <v>2</v>
      </c>
      <c r="AG140" s="321">
        <f>IF(AND(AG139+AG141&gt;=11,AG139+AG141&lt;=19),AG139+AG141,0)</f>
        <v>0</v>
      </c>
      <c r="AH140" s="321">
        <f>INT(AH139)</f>
        <v>90</v>
      </c>
      <c r="AI140" s="318"/>
      <c r="AJ140" s="318"/>
      <c r="AK140" s="318"/>
      <c r="AL140" s="318"/>
      <c r="AM140" s="318"/>
    </row>
    <row r="141" spans="17:39" s="317" customFormat="1" ht="12" customHeight="1" hidden="1">
      <c r="Q141" s="442"/>
      <c r="R141" s="443"/>
      <c r="S141" s="443"/>
      <c r="T141" s="443"/>
      <c r="U141" s="318"/>
      <c r="V141" s="318"/>
      <c r="W141" s="318"/>
      <c r="X141" s="318"/>
      <c r="Y141" s="318"/>
      <c r="Z141" s="318"/>
      <c r="AA141" s="318"/>
      <c r="AB141" s="318"/>
      <c r="AC141" s="318"/>
      <c r="AD141" s="318"/>
      <c r="AE141" s="318"/>
      <c r="AF141" s="318">
        <v>3</v>
      </c>
      <c r="AG141" s="321">
        <f>AG138-INT(AG138/100)*100-AG139</f>
        <v>30</v>
      </c>
      <c r="AH141" s="321">
        <f>IF(AH140=0,"",AH140-INT(AH140/10)*10)</f>
        <v>0</v>
      </c>
      <c r="AI141" s="318"/>
      <c r="AJ141" s="318"/>
      <c r="AK141" s="318"/>
      <c r="AL141" s="318"/>
      <c r="AM141" s="318"/>
    </row>
    <row r="142" spans="17:39" s="317" customFormat="1" ht="12" customHeight="1" hidden="1">
      <c r="Q142" s="442"/>
      <c r="R142" s="443"/>
      <c r="S142" s="443"/>
      <c r="T142" s="443"/>
      <c r="U142" s="318"/>
      <c r="V142" s="318"/>
      <c r="W142" s="318"/>
      <c r="X142" s="318"/>
      <c r="Y142" s="318"/>
      <c r="Z142" s="318"/>
      <c r="AA142" s="318"/>
      <c r="AB142" s="318"/>
      <c r="AC142" s="318"/>
      <c r="AD142" s="318"/>
      <c r="AE142" s="318"/>
      <c r="AF142" s="318">
        <v>4</v>
      </c>
      <c r="AG142" s="321">
        <f>AG138-INT(AG138/1000)*1000-AG141-AG139</f>
        <v>100</v>
      </c>
      <c r="AH142" s="322">
        <f>IF(AH140=0,"",AH140)</f>
        <v>90</v>
      </c>
      <c r="AI142" s="318">
        <v>0</v>
      </c>
      <c r="AJ142" s="318" t="s">
        <v>282</v>
      </c>
      <c r="AK142" s="318"/>
      <c r="AL142" s="318"/>
      <c r="AM142" s="318"/>
    </row>
    <row r="143" spans="17:39" s="317" customFormat="1" ht="12" customHeight="1" hidden="1">
      <c r="Q143" s="442"/>
      <c r="R143" s="443"/>
      <c r="S143" s="443"/>
      <c r="T143" s="443"/>
      <c r="U143" s="318"/>
      <c r="V143" s="318"/>
      <c r="W143" s="318"/>
      <c r="X143" s="318"/>
      <c r="Y143" s="318"/>
      <c r="Z143" s="318"/>
      <c r="AA143" s="318"/>
      <c r="AB143" s="318"/>
      <c r="AC143" s="318"/>
      <c r="AD143" s="318"/>
      <c r="AE143" s="318"/>
      <c r="AF143" s="318">
        <v>5</v>
      </c>
      <c r="AG143" s="321">
        <f>AG138-INT(AG138/10000)*10000-AG141-AG139-AG142</f>
        <v>0</v>
      </c>
      <c r="AH143" s="318">
        <f>AG143/1000</f>
        <v>0</v>
      </c>
      <c r="AI143" s="318"/>
      <c r="AJ143" s="318"/>
      <c r="AK143" s="318"/>
      <c r="AL143" s="318"/>
      <c r="AM143" s="318"/>
    </row>
    <row r="144" spans="17:39" s="317" customFormat="1" ht="12" customHeight="1" hidden="1">
      <c r="Q144" s="442"/>
      <c r="R144" s="443"/>
      <c r="S144" s="443"/>
      <c r="T144" s="443"/>
      <c r="U144" s="318"/>
      <c r="V144" s="318"/>
      <c r="W144" s="318"/>
      <c r="X144" s="318"/>
      <c r="Y144" s="318"/>
      <c r="Z144" s="318"/>
      <c r="AA144" s="318"/>
      <c r="AB144" s="318"/>
      <c r="AC144" s="318"/>
      <c r="AD144" s="318"/>
      <c r="AE144" s="318"/>
      <c r="AF144" s="318">
        <v>6</v>
      </c>
      <c r="AG144" s="318"/>
      <c r="AH144" s="321">
        <f>IF(AND(AH143+AH145&gt;=11,AH143+AH145&lt;=19),AH143+AH145,0)</f>
        <v>0</v>
      </c>
      <c r="AI144" s="318"/>
      <c r="AJ144" s="318"/>
      <c r="AK144" s="318"/>
      <c r="AL144" s="318"/>
      <c r="AM144" s="318"/>
    </row>
    <row r="145" spans="17:39" s="317" customFormat="1" ht="12" customHeight="1" hidden="1">
      <c r="Q145" s="442"/>
      <c r="R145" s="443"/>
      <c r="S145" s="443"/>
      <c r="T145" s="443"/>
      <c r="U145" s="318"/>
      <c r="V145" s="318"/>
      <c r="W145" s="318"/>
      <c r="X145" s="318"/>
      <c r="Y145" s="318"/>
      <c r="Z145" s="318"/>
      <c r="AA145" s="318"/>
      <c r="AB145" s="318"/>
      <c r="AC145" s="318"/>
      <c r="AD145" s="318"/>
      <c r="AE145" s="318"/>
      <c r="AF145" s="318">
        <v>7</v>
      </c>
      <c r="AG145" s="321">
        <f>AG138-INT(AG138/100000)*100000-AG141-AG139-AG142-AG143</f>
        <v>0</v>
      </c>
      <c r="AH145" s="318">
        <f>AG145/1000</f>
        <v>0</v>
      </c>
      <c r="AI145" s="318"/>
      <c r="AJ145" s="318"/>
      <c r="AK145" s="318"/>
      <c r="AL145" s="318"/>
      <c r="AM145" s="318"/>
    </row>
    <row r="146" spans="17:39" s="317" customFormat="1" ht="12" customHeight="1" hidden="1">
      <c r="Q146" s="442"/>
      <c r="R146" s="443"/>
      <c r="S146" s="443"/>
      <c r="T146" s="443"/>
      <c r="U146" s="318"/>
      <c r="V146" s="318"/>
      <c r="W146" s="318"/>
      <c r="X146" s="318"/>
      <c r="Y146" s="318"/>
      <c r="Z146" s="318"/>
      <c r="AA146" s="318"/>
      <c r="AB146" s="318"/>
      <c r="AC146" s="318"/>
      <c r="AD146" s="318"/>
      <c r="AE146" s="318"/>
      <c r="AF146" s="318">
        <v>8</v>
      </c>
      <c r="AG146" s="321">
        <f>AG138-INT(AG138/1000000)*1000000-AG141-AG139-AG142-AG143-AG145</f>
        <v>0</v>
      </c>
      <c r="AH146" s="318">
        <f>AG146/1000</f>
        <v>0</v>
      </c>
      <c r="AI146" s="318"/>
      <c r="AJ146" s="318"/>
      <c r="AK146" s="318"/>
      <c r="AL146" s="318"/>
      <c r="AM146" s="318"/>
    </row>
    <row r="147" spans="17:39" s="317" customFormat="1" ht="12" customHeight="1" hidden="1">
      <c r="Q147" s="442"/>
      <c r="R147" s="443"/>
      <c r="S147" s="443"/>
      <c r="T147" s="443"/>
      <c r="U147" s="318"/>
      <c r="V147" s="318"/>
      <c r="W147" s="318"/>
      <c r="X147" s="318"/>
      <c r="Y147" s="318"/>
      <c r="Z147" s="318"/>
      <c r="AA147" s="318"/>
      <c r="AB147" s="318"/>
      <c r="AC147" s="318"/>
      <c r="AD147" s="318"/>
      <c r="AE147" s="318"/>
      <c r="AF147" s="318">
        <v>9</v>
      </c>
      <c r="AG147" s="321">
        <f>AG138-INT(AG138/10000000)*10000000-AG141-AG139-AG142-AG143-AG145-AG146</f>
        <v>0</v>
      </c>
      <c r="AH147" s="318">
        <f>AG147/1000000</f>
        <v>0</v>
      </c>
      <c r="AI147" s="318"/>
      <c r="AJ147" s="318"/>
      <c r="AK147" s="318"/>
      <c r="AL147" s="318"/>
      <c r="AM147" s="318"/>
    </row>
    <row r="148" spans="17:39" s="317" customFormat="1" ht="12" customHeight="1" hidden="1">
      <c r="Q148" s="442"/>
      <c r="R148" s="443"/>
      <c r="S148" s="443"/>
      <c r="T148" s="443"/>
      <c r="U148" s="318"/>
      <c r="V148" s="318"/>
      <c r="W148" s="318"/>
      <c r="X148" s="318"/>
      <c r="Y148" s="318"/>
      <c r="Z148" s="318"/>
      <c r="AA148" s="318"/>
      <c r="AB148" s="318"/>
      <c r="AC148" s="318"/>
      <c r="AD148" s="318"/>
      <c r="AE148" s="318"/>
      <c r="AF148" s="318">
        <v>10</v>
      </c>
      <c r="AG148" s="318"/>
      <c r="AH148" s="321">
        <f>IF(AND(AH147+AH149&gt;=11,AH147+AH149&lt;=19),AH147+AH149,0)</f>
        <v>0</v>
      </c>
      <c r="AI148" s="318"/>
      <c r="AJ148" s="318"/>
      <c r="AK148" s="318"/>
      <c r="AL148" s="318"/>
      <c r="AM148" s="318"/>
    </row>
    <row r="149" spans="17:39" s="317" customFormat="1" ht="12" customHeight="1" hidden="1">
      <c r="Q149" s="442"/>
      <c r="R149" s="443"/>
      <c r="S149" s="443"/>
      <c r="T149" s="443"/>
      <c r="U149" s="318"/>
      <c r="V149" s="318"/>
      <c r="W149" s="318"/>
      <c r="X149" s="318"/>
      <c r="Y149" s="318"/>
      <c r="Z149" s="318"/>
      <c r="AA149" s="318"/>
      <c r="AB149" s="318"/>
      <c r="AC149" s="318"/>
      <c r="AD149" s="318"/>
      <c r="AE149" s="318"/>
      <c r="AF149" s="318">
        <v>11</v>
      </c>
      <c r="AG149" s="321">
        <f>AG138-INT(AG138/100000000)*100000000-AG141-AG139-AG142-AG143-AG145-AG146-AG147</f>
        <v>0</v>
      </c>
      <c r="AH149" s="318">
        <f>AG149/1000000</f>
        <v>0</v>
      </c>
      <c r="AI149" s="318"/>
      <c r="AJ149" s="318"/>
      <c r="AK149" s="318"/>
      <c r="AL149" s="318"/>
      <c r="AM149" s="318"/>
    </row>
    <row r="150" spans="17:39" s="317" customFormat="1" ht="12" customHeight="1" hidden="1">
      <c r="Q150" s="442"/>
      <c r="R150" s="443"/>
      <c r="S150" s="443"/>
      <c r="T150" s="443"/>
      <c r="U150" s="318"/>
      <c r="V150" s="318"/>
      <c r="W150" s="318"/>
      <c r="X150" s="318"/>
      <c r="Y150" s="318"/>
      <c r="Z150" s="318"/>
      <c r="AA150" s="318"/>
      <c r="AB150" s="318"/>
      <c r="AC150" s="318"/>
      <c r="AD150" s="318"/>
      <c r="AE150" s="318"/>
      <c r="AF150" s="318">
        <v>12</v>
      </c>
      <c r="AG150" s="321">
        <f>AG138-INT(AG138/1000000000)*1000000000-AG141-AG139-AG142-AG143-AG145-AG146-AG147-AG149</f>
        <v>0</v>
      </c>
      <c r="AH150" s="318">
        <f>AG150/1000000</f>
        <v>0</v>
      </c>
      <c r="AI150" s="318"/>
      <c r="AJ150" s="318"/>
      <c r="AK150" s="318"/>
      <c r="AL150" s="318"/>
      <c r="AM150" s="318"/>
    </row>
    <row r="151" spans="17:39" s="317" customFormat="1" ht="12" customHeight="1" hidden="1">
      <c r="Q151" s="442"/>
      <c r="R151" s="443"/>
      <c r="S151" s="443"/>
      <c r="T151" s="443"/>
      <c r="U151" s="318"/>
      <c r="V151" s="318"/>
      <c r="W151" s="318"/>
      <c r="X151" s="318"/>
      <c r="Y151" s="318"/>
      <c r="Z151" s="318"/>
      <c r="AA151" s="318"/>
      <c r="AB151" s="318"/>
      <c r="AC151" s="318"/>
      <c r="AD151" s="318"/>
      <c r="AE151" s="318"/>
      <c r="AF151" s="318">
        <v>13</v>
      </c>
      <c r="AG151" s="321">
        <f>AG138-INT(AG138/10000000000)*10000000000-AG141-AG139-AG142-AG143-AG145-AG146-AG147-AG149-AG150</f>
        <v>0</v>
      </c>
      <c r="AH151" s="318">
        <f>AG151/1000000000</f>
        <v>0</v>
      </c>
      <c r="AI151" s="318"/>
      <c r="AJ151" s="318"/>
      <c r="AK151" s="318"/>
      <c r="AL151" s="318"/>
      <c r="AM151" s="318"/>
    </row>
    <row r="152" spans="17:39" s="317" customFormat="1" ht="12" customHeight="1" hidden="1">
      <c r="Q152" s="442"/>
      <c r="R152" s="443"/>
      <c r="S152" s="443"/>
      <c r="T152" s="443"/>
      <c r="U152" s="318"/>
      <c r="V152" s="318"/>
      <c r="W152" s="318"/>
      <c r="X152" s="318"/>
      <c r="Y152" s="318"/>
      <c r="Z152" s="318"/>
      <c r="AA152" s="318"/>
      <c r="AB152" s="318"/>
      <c r="AC152" s="318"/>
      <c r="AD152" s="318"/>
      <c r="AE152" s="318"/>
      <c r="AF152" s="318">
        <v>14</v>
      </c>
      <c r="AG152" s="321"/>
      <c r="AH152" s="321">
        <f>IF(AND(AH151+AH153&gt;=11,AH151+AH153&lt;=19),AH151+AH153,0)</f>
        <v>0</v>
      </c>
      <c r="AI152" s="318"/>
      <c r="AJ152" s="318"/>
      <c r="AK152" s="318"/>
      <c r="AL152" s="318"/>
      <c r="AM152" s="318"/>
    </row>
    <row r="153" spans="17:39" s="317" customFormat="1" ht="12" customHeight="1" hidden="1">
      <c r="Q153" s="442"/>
      <c r="R153" s="443"/>
      <c r="S153" s="443"/>
      <c r="T153" s="443"/>
      <c r="U153" s="318"/>
      <c r="V153" s="318"/>
      <c r="W153" s="318"/>
      <c r="X153" s="318"/>
      <c r="Y153" s="318"/>
      <c r="Z153" s="318"/>
      <c r="AA153" s="318"/>
      <c r="AB153" s="318"/>
      <c r="AC153" s="318"/>
      <c r="AD153" s="318"/>
      <c r="AE153" s="318"/>
      <c r="AF153" s="318">
        <v>15</v>
      </c>
      <c r="AG153" s="321">
        <f>AG138-INT(AG138/100000000000)*100000000000-AG141-AG139-AG142-AG143-AG145-AG146-AG147-AG149-AG150-AG151</f>
        <v>0</v>
      </c>
      <c r="AH153" s="318">
        <f>AG153/1000000000</f>
        <v>0</v>
      </c>
      <c r="AI153" s="318"/>
      <c r="AJ153" s="318"/>
      <c r="AK153" s="318"/>
      <c r="AL153" s="318"/>
      <c r="AM153" s="318"/>
    </row>
    <row r="154" spans="17:39" s="317" customFormat="1" ht="12" customHeight="1" hidden="1">
      <c r="Q154" s="442"/>
      <c r="R154" s="443"/>
      <c r="S154" s="443"/>
      <c r="T154" s="443"/>
      <c r="U154" s="318"/>
      <c r="V154" s="318"/>
      <c r="W154" s="318"/>
      <c r="X154" s="318"/>
      <c r="Y154" s="318"/>
      <c r="Z154" s="318"/>
      <c r="AA154" s="318"/>
      <c r="AB154" s="318"/>
      <c r="AC154" s="318"/>
      <c r="AD154" s="318"/>
      <c r="AE154" s="318"/>
      <c r="AF154" s="318">
        <v>16</v>
      </c>
      <c r="AG154" s="321">
        <f>AG138-INT(AG138/1000000000000)*1000000000000-AG141-AG139-AG142-AG143-AG145-AG146-AG147-AG149-AG150-AG151-AG153</f>
        <v>0</v>
      </c>
      <c r="AH154" s="318">
        <f>AG154/1000000000</f>
        <v>0</v>
      </c>
      <c r="AI154" s="318"/>
      <c r="AJ154" s="318"/>
      <c r="AK154" s="318"/>
      <c r="AL154" s="318"/>
      <c r="AM154" s="318"/>
    </row>
    <row r="155" spans="17:39" s="317" customFormat="1" ht="12" customHeight="1" hidden="1">
      <c r="Q155" s="442"/>
      <c r="R155" s="443"/>
      <c r="S155" s="443"/>
      <c r="T155" s="443"/>
      <c r="U155" s="318"/>
      <c r="V155" s="318" t="str">
        <f>IF(AG138+AH138=0,"",IF(AH142&lt;10,AE171&amp;AE170&amp;AE169&amp;AE168&amp;AK168&amp;AE167&amp;AE166&amp;AE165&amp;AE164&amp;AK164&amp;AE163&amp;AE162&amp;AE161&amp;AE160&amp;AK160&amp;AE159&amp;AE158&amp;AE157&amp;AE156&amp;AB160&amp;AI142&amp;AH142&amp;U160&amp;".",AE171&amp;AE170&amp;AE169&amp;AE168&amp;AK168&amp;AE167&amp;AE166&amp;AE165&amp;AE164&amp;AK164&amp;AE163&amp;AE162&amp;AE161&amp;AE160&amp;AK160&amp;AE159&amp;AE158&amp;AE157&amp;AE156&amp;AB160&amp;AH142&amp;U160&amp;"."))</f>
        <v>Сто тридцать четыре белорусских рубля 90 копеек.</v>
      </c>
      <c r="W155" s="318"/>
      <c r="X155" s="318"/>
      <c r="Y155" s="318"/>
      <c r="Z155" s="318"/>
      <c r="AA155" s="318"/>
      <c r="AB155" s="318"/>
      <c r="AC155" s="318"/>
      <c r="AD155" s="318"/>
      <c r="AE155" s="318"/>
      <c r="AF155" s="318"/>
      <c r="AG155" s="323" t="str">
        <f>IF(AG138+AH138=0,"",IF(AH142&lt;10,AE171&amp;AE170&amp;AE169&amp;AE168&amp;AK168&amp;AE167&amp;AE166&amp;AE165&amp;AE164&amp;AK164&amp;AE163&amp;AE162&amp;AE161&amp;AE160&amp;AK160&amp;AE159&amp;AE158&amp;AE157&amp;AE156&amp;AB160&amp;AI142&amp;AH142&amp;Z160&amp;".",AE171&amp;AE170&amp;AE169&amp;AE168&amp;AK168&amp;AE167&amp;AE166&amp;AE165&amp;AE164&amp;AK164&amp;AE163&amp;AE162&amp;AE161&amp;AE160&amp;AK160&amp;AE159&amp;AE158&amp;AE157&amp;AE156&amp;AB160&amp;AH142&amp;Z160&amp;"."))</f>
        <v>Сто тридцать четыре белорусских рубля 90 копеек.</v>
      </c>
      <c r="AH155" s="318"/>
      <c r="AI155" s="318"/>
      <c r="AJ155" s="318"/>
      <c r="AK155" s="318"/>
      <c r="AL155" s="318"/>
      <c r="AM155" s="318"/>
    </row>
    <row r="156" spans="17:39" s="317" customFormat="1" ht="12" customHeight="1" hidden="1">
      <c r="Q156" s="442"/>
      <c r="R156" s="443"/>
      <c r="S156" s="443"/>
      <c r="T156" s="443"/>
      <c r="U156" s="324">
        <f>IF(AND(AH140&gt;=11,AH140&lt;=19),"",IF(AH141=1,V156,""))</f>
      </c>
      <c r="V156" s="318" t="s">
        <v>283</v>
      </c>
      <c r="W156" s="318"/>
      <c r="X156" s="318"/>
      <c r="Y156" s="318"/>
      <c r="Z156" s="324">
        <f>IF(AND(AH140&gt;=11,AH140&lt;=19),"",IF(AH141=1,AA156,""))</f>
      </c>
      <c r="AA156" s="318" t="s">
        <v>283</v>
      </c>
      <c r="AB156" s="324">
        <f>IF(AG140&gt;0,"",IF(AND(Z160="",AG139=1),AC156,IF(AG139=1,AC156&amp;" ","")))</f>
      </c>
      <c r="AC156" s="325" t="s">
        <v>284</v>
      </c>
      <c r="AD156" s="318"/>
      <c r="AE156" s="318" t="str">
        <f>IF(SUM(AG140:AG154)=0,PROPER(AG156),AG156)</f>
        <v> четыре</v>
      </c>
      <c r="AF156" s="318">
        <v>1</v>
      </c>
      <c r="AG156" s="323" t="str">
        <f>IF(AND(AG140&lt;20,AG140&gt;10),"",AH156&amp;AJ156&amp;AI156)</f>
        <v> четыре</v>
      </c>
      <c r="AH156" s="318">
        <f>IF(AL156=3,IF(AG139=1,"один",IF(AG139=2,"два",IF(AG139=3,"три",""))),IF(AG139=1," один",IF(AG139=2," два",IF(AG139=3," три",""))))</f>
      </c>
      <c r="AI156" s="318" t="str">
        <f>IF(AL156=3,IF(AG139=4,"четыре",IF(AG139=5,"пять",IF(AG139=6,"шесть",""))),IF(AG139=4," четыре",IF(AG139=5," пять",IF(AG139=6," шесть",""))))</f>
        <v> четыре</v>
      </c>
      <c r="AJ156" s="318">
        <f>IF(AL156=3,IF(AG139=7,"семь",IF(AG139=8,"восемь",IF(AG139=9,"девять",""))),IF(AG139=7," семь",IF(AG139=8," восемь",IF(AG139=9," девять",""))))</f>
      </c>
      <c r="AK156" s="318"/>
      <c r="AL156" s="318">
        <f>IF(AND(AG171="",AG169="",AG170="",AG168="",AG167="",AG166="",AG165=""),1,0)+IF(AND(AG164="",AG163="",AG162="",AG161="",AG160="",AG159="",AG158=""),1,0)+IF(AG157="",1,0)</f>
        <v>2</v>
      </c>
      <c r="AM156" s="318"/>
    </row>
    <row r="157" spans="17:39" s="317" customFormat="1" ht="12" customHeight="1" hidden="1">
      <c r="Q157" s="442"/>
      <c r="R157" s="443"/>
      <c r="S157" s="443"/>
      <c r="T157" s="443"/>
      <c r="U157" s="326">
        <f>IF(AND(AH140&gt;=11,AH140&lt;=19),"",IF(OR(AH141=2,AH141=3,AH141=4),V157,""))</f>
      </c>
      <c r="V157" s="318" t="s">
        <v>285</v>
      </c>
      <c r="W157" s="318"/>
      <c r="X157" s="318"/>
      <c r="Y157" s="318"/>
      <c r="Z157" s="326">
        <f>IF(AND(AH140&gt;=11,AH140&lt;=19),"",IF(OR(AH141=2,AH141=3,AH141=4),AA157,""))</f>
      </c>
      <c r="AA157" s="318" t="s">
        <v>285</v>
      </c>
      <c r="AB157" s="326" t="str">
        <f>IF(AG140&gt;0,"",IF(AND(Z160="",OR(AG139=2,AG139=3,AG139=4)),AC157,IF(OR(AG139=2,AG139=3,AG139=4),AC157&amp;" ","")))</f>
        <v> белорусских рубля </v>
      </c>
      <c r="AC157" s="327" t="s">
        <v>286</v>
      </c>
      <c r="AD157" s="318"/>
      <c r="AE157" s="318">
        <f>IF(SUM(AG142:AG154)=0,PROPER(AG157),AG157)</f>
      </c>
      <c r="AF157" s="318">
        <v>2</v>
      </c>
      <c r="AG157" s="323">
        <f>AH157&amp;AJ157&amp;AI157</f>
      </c>
      <c r="AH157" s="318">
        <f>IF(AL157=2,IF(AG140=11,"одиннадцать",IF(AG140=12,"двенадцать",IF(AG140=13,"тринадцать",""))),IF(AG140=11," одиннадцать",IF(AG140=12," двенадцать",IF(AG140=13," тринадцать",""))))</f>
      </c>
      <c r="AI157" s="318">
        <f>IF(AL157=2,IF(AG140=14,"четырнадцать",IF(AG140=15,"пятнадцать",IF(AG140=16,"шестнадцать",""))),IF(AG140=14," четырнадцать",IF(AG140=15," пятнадцать",IF(AG140=16," шестнадцать",""))))</f>
      </c>
      <c r="AJ157" s="318">
        <f>IF(AL157=2,IF(AG140=17,"семнадцать",IF(AG140=18,"восемнадцать",IF(AG140=19,"девятнадцать",""))),IF(AG140=17," семнадцать",IF(AG140=18," восемнадцать",IF(AG140=19," девятнадцать",""))))</f>
      </c>
      <c r="AK157" s="318"/>
      <c r="AL157" s="318">
        <f>IF(AND(AG171="",AG169="",AG170="",AG168="",AG167="",AG166="",AG165=""),1,0)+IF(AND(AG164="",AG163="",AG162="",AG161="",AG160="",AG159="",AG158=""),1,0)</f>
        <v>1</v>
      </c>
      <c r="AM157" s="318"/>
    </row>
    <row r="158" spans="17:39" s="317" customFormat="1" ht="12" customHeight="1" hidden="1">
      <c r="Q158" s="442"/>
      <c r="R158" s="443"/>
      <c r="S158" s="443"/>
      <c r="T158" s="443"/>
      <c r="U158" s="326" t="str">
        <f>IF(AND(AH140&gt;=11,AH140&lt;=19),"",IF(OR(AH141=0,AH141=5,AH141=6,AH141=7,AH141=8,AH141=9),V158,""))</f>
        <v> копеек</v>
      </c>
      <c r="V158" s="318" t="s">
        <v>287</v>
      </c>
      <c r="W158" s="318"/>
      <c r="X158" s="318"/>
      <c r="Y158" s="318"/>
      <c r="Z158" s="326" t="str">
        <f>IF(AND(AH140&gt;=11,AH140&lt;=19),"",IF(OR(AH141=0,AH141=5,AH141=6,AH141=7,AH141=8,AH141=9),AA158,""))</f>
        <v> копеек</v>
      </c>
      <c r="AA158" s="318" t="s">
        <v>287</v>
      </c>
      <c r="AB158" s="326">
        <f>IF(AG140&gt;0,"",IF(AND(Z160="",OR(AG139=0,AG139=5,AG139=6,AG139=7,AG139=8,AG139=9)),AC158,IF(OR(AG139=0,AG139=5,AG139=6,AG139=7,AG139=8,AG139=9),AC158&amp;" ","")))</f>
      </c>
      <c r="AC158" s="327" t="s">
        <v>288</v>
      </c>
      <c r="AD158" s="318"/>
      <c r="AE158" s="318" t="str">
        <f>IF(SUM(AG142:AG154)=0,PROPER(AG158),AG158)</f>
        <v> тридцать</v>
      </c>
      <c r="AF158" s="318">
        <v>3</v>
      </c>
      <c r="AG158" s="323" t="str">
        <f>IF(AND(AG140&lt;20,AG140&gt;10),"",AH158&amp;AJ158&amp;AI158)</f>
        <v> тридцать</v>
      </c>
      <c r="AH158" s="318" t="str">
        <f>IF(AL158=2,IF(AG141=10,"десять",IF(AG141=20,"двадцать",IF(AG141=30,"тридцать",""))),IF(AG141=10," десять",IF(AG141=20," двадцать",IF(AG141=30," тридцать",""))))</f>
        <v> тридцать</v>
      </c>
      <c r="AI158" s="318">
        <f>IF(AL158=2,IF(AG141=40,"сорок",IF(AG141=50,"пятьдесят",IF(AG141=60,"шестьдесят",""))),IF(AG141=40," сорок",IF(AG141=50," пятьдесят",IF(AG141=60," шестьдесят",""))))</f>
      </c>
      <c r="AJ158" s="318">
        <f>IF(AL158=2,IF(AG141=70,"семьдесят",IF(AG141=80,"восемьдесят",IF(AG141=90,"девяносто",""))),IF(AG141=70," семьдесят",IF(AG141=80," восемьдесят",IF(AG141=90," девяносто",""))))</f>
      </c>
      <c r="AK158" s="318"/>
      <c r="AL158" s="318">
        <f>IF(AND(AG171="",AG169="",AG170="",AG168="",AG167="",AG166="",AG165=""),1,0)+IF(AND(AG164="",AG163="",AG162="",AG161="",AG160="",AG159=""),1,0)</f>
        <v>1</v>
      </c>
      <c r="AM158" s="318"/>
    </row>
    <row r="159" spans="17:39" s="317" customFormat="1" ht="12" customHeight="1" hidden="1">
      <c r="Q159" s="442"/>
      <c r="R159" s="443"/>
      <c r="S159" s="443"/>
      <c r="T159" s="443"/>
      <c r="U159" s="318">
        <f>IF(AND(AH140&gt;=11,AH140&lt;=19),V158,"")</f>
      </c>
      <c r="V159" s="318"/>
      <c r="W159" s="318"/>
      <c r="X159" s="318"/>
      <c r="Y159" s="318"/>
      <c r="Z159" s="318">
        <f>IF(AND(AH140&gt;=11,AH140&lt;=19),AA158,"")</f>
      </c>
      <c r="AA159" s="318"/>
      <c r="AB159" s="318">
        <f>IF(AND(Z160="",AG140&gt;=11,AG140&lt;=19),AC158,IF(AND(AG140&gt;=11,AG140&lt;=19),AC158&amp;" ",""))</f>
      </c>
      <c r="AC159" s="327"/>
      <c r="AD159" s="318"/>
      <c r="AE159" s="318" t="str">
        <f>IF(SUM(AH143:AH154)=0,PROPER(AG159),AG159)</f>
        <v>Сто</v>
      </c>
      <c r="AF159" s="318">
        <v>4</v>
      </c>
      <c r="AG159" s="323" t="str">
        <f>AH159&amp;AJ159&amp;AI159</f>
        <v>сто</v>
      </c>
      <c r="AH159" s="318" t="str">
        <f>IF(AL159=2,IF(AG142=100,"сто",IF(AG142=200,"двести",IF(AG142=300,"триста",""))),IF(AG142=100," сто",IF(AG142=200," двести",IF(AG142=300," триста",""))))</f>
        <v>сто</v>
      </c>
      <c r="AI159" s="318">
        <f>IF(AL159=2,IF(AG142=400,"четыреста",IF(AG142=500,"пятьсот",IF(AG142=600,"шестьсот",""))),IF(AG142=400," четыреста",IF(AG142=500," пятьсот",IF(AG142=600," шестьсот",""))))</f>
      </c>
      <c r="AJ159" s="318">
        <f>IF(AL159=2,IF(AG142=700,"семьсот",IF(AG142=800,"восемьсот",IF(AG142=900,"девятьсот",""))),IF(AG142=700," семьсот",IF(AG142=800," восемьсот",IF(AG142=900," девятьсот",""))))</f>
      </c>
      <c r="AK159" s="318"/>
      <c r="AL159" s="318">
        <f>IF(AND(AG171="",AG169="",AG170="",AG168="",AG167="",AG166="",AG165=""),1,0)+IF(AND(AG164="",AG163="",AG162="",AG161="",AG160=""),1,0)</f>
        <v>2</v>
      </c>
      <c r="AM159" s="318"/>
    </row>
    <row r="160" spans="17:39" s="317" customFormat="1" ht="12" customHeight="1" hidden="1">
      <c r="Q160" s="442"/>
      <c r="R160" s="443"/>
      <c r="S160" s="443"/>
      <c r="T160" s="443"/>
      <c r="U160" s="325" t="str">
        <f>IF(AH142=""," 00"&amp;U156&amp;U157&amp;U158&amp;U159,U156&amp;U157&amp;U158&amp;U159)</f>
        <v> копеек</v>
      </c>
      <c r="V160" s="318"/>
      <c r="W160" s="318"/>
      <c r="X160" s="318"/>
      <c r="Y160" s="318"/>
      <c r="Z160" s="325" t="str">
        <f>IF(AH139=0,"",Z156&amp;Z157&amp;Z158&amp;Z159)</f>
        <v> копеек</v>
      </c>
      <c r="AA160" s="318"/>
      <c r="AB160" s="325" t="str">
        <f>IF(AG138=0,"",AB156&amp;AB157&amp;AB158&amp;AB159)</f>
        <v> белорусских рубля </v>
      </c>
      <c r="AC160" s="325"/>
      <c r="AD160" s="318"/>
      <c r="AE160" s="318">
        <f>IF(SUM(AH144:AH154)=0,PROPER(AG160),AG160)</f>
      </c>
      <c r="AF160" s="318">
        <v>5</v>
      </c>
      <c r="AG160" s="323">
        <f>IF(AND(AH144&lt;20,AH144&gt;10),"",AH160&amp;AJ160&amp;AI160)</f>
      </c>
      <c r="AH160" s="318">
        <f>IF(AL160=2,IF(AH143=1,"одна",IF(AH143=2,"две",IF(AH143=3,"три",""))),IF(AH143=1," одна",IF(AH143=2," две",IF(AH143=3," три",""))))</f>
      </c>
      <c r="AI160" s="318">
        <f>IF(AL160=2,IF(AH143=4,"четыре",IF(AH143=5,"пять",IF(AH143=6,"шесть",""))),IF(AH143=4," четыре",IF(AH143=5," пять",IF(AH143=6," шесть",""))))</f>
      </c>
      <c r="AJ160" s="318">
        <f>IF(AL160=2,IF(AH143=7,"семь",IF(AH143=8,"восемь",IF(AH143=9,"девять",""))),IF(AH143=7," семь",IF(AH143=8," восемь",IF(AH143=9," девять",""))))</f>
      </c>
      <c r="AK160" s="318">
        <f>IF(AND(AG160="",AG161="",AG162="",AG163=""),"",IF(AND(AH144&lt;20,AH144&gt;10)," тысяч",IF(AH143=1," тысяча",IF(OR(AH143=2,AH143=3,AH143=4)," тысячи"," тысяч"))))</f>
      </c>
      <c r="AL160" s="318">
        <f>IF(AND(AG171="",AG169="",AG170="",AG168="",AG167="",AG166="",AG165=""),1,0)+IF(AND(AG164="",AG163="",AG162="",AG161=""),1,0)</f>
        <v>2</v>
      </c>
      <c r="AM160" s="318"/>
    </row>
    <row r="161" spans="17:39" s="317" customFormat="1" ht="12" customHeight="1" hidden="1">
      <c r="Q161" s="442"/>
      <c r="R161" s="443"/>
      <c r="S161" s="443"/>
      <c r="T161" s="443"/>
      <c r="U161" s="318"/>
      <c r="V161" s="318"/>
      <c r="W161" s="318"/>
      <c r="X161" s="318"/>
      <c r="Y161" s="318"/>
      <c r="Z161" s="318"/>
      <c r="AA161" s="318"/>
      <c r="AB161" s="324"/>
      <c r="AC161" s="325"/>
      <c r="AD161" s="318"/>
      <c r="AE161" s="318">
        <f>IF(SUM(AH146:AH154)=0,PROPER(AG161),AG161)</f>
      </c>
      <c r="AF161" s="318">
        <v>6</v>
      </c>
      <c r="AG161" s="323">
        <f>AH161&amp;AJ161&amp;AI161</f>
      </c>
      <c r="AH161" s="318">
        <f>IF(AL161=2,IF(AH144=11,"одиннадцать",IF(AH144=12,"двенадцать",IF(AH144=13,"тринадцать",""))),IF(AH144=11," одиннадцать",IF(AH144=12," двенадцать",IF(AH144=13," тринадцать",""))))</f>
      </c>
      <c r="AI161" s="318">
        <f>IF(AL161=2,IF(AH144=14,"четырнадцать",IF(AH144=15,"пятнадцать",IF(AH144=16,"шестнадцать",""))),IF(AH144=14," четырнадцать",IF(AH144=15," пятнадцать",IF(AH144=16," шестнадцать",""))))</f>
      </c>
      <c r="AJ161" s="318">
        <f>IF(AL161=2,IF(AH144=17,"семнадцать",IF(AH144=18,"восемнадцать",IF(AH144=19,"девятнадцать",""))),IF(AH144=17," семнадцать",IF(AH144=18," восемнадцать",IF(AH144=19," девятнадцать",""))))</f>
      </c>
      <c r="AK161" s="318"/>
      <c r="AL161" s="318">
        <f>IF(AND(AG171="",AG169="",AG170="",AG168="",AG167="",AG166="",AG165=""),1,0)+IF(AND(AG164="",AG163="",AG162=""),1,0)</f>
        <v>2</v>
      </c>
      <c r="AM161" s="318"/>
    </row>
    <row r="162" spans="17:39" s="317" customFormat="1" ht="12" customHeight="1" hidden="1">
      <c r="Q162" s="442"/>
      <c r="R162" s="443"/>
      <c r="S162" s="443"/>
      <c r="T162" s="443"/>
      <c r="U162" s="318"/>
      <c r="V162" s="318"/>
      <c r="W162" s="318"/>
      <c r="X162" s="318"/>
      <c r="Y162" s="318"/>
      <c r="Z162" s="318"/>
      <c r="AA162" s="318"/>
      <c r="AB162" s="318"/>
      <c r="AC162" s="318"/>
      <c r="AD162" s="318"/>
      <c r="AE162" s="318">
        <f>IF(SUM(AH146:AH154)=0,PROPER(AG162),AG162)</f>
      </c>
      <c r="AF162" s="318">
        <v>7</v>
      </c>
      <c r="AG162" s="323">
        <f>IF(AND(AH144&lt;20,AH144&gt;10),"",AH162&amp;AJ162&amp;AI162)</f>
      </c>
      <c r="AH162" s="318">
        <f>IF(AL162=2,IF(AH145=10,"десять",IF(AH145=20,"двадцать",IF(AH145=30,"тридцать",""))),IF(AH145=10," десять",IF(AH145=20," двадцать",IF(AH145=30," тридцать",""))))</f>
      </c>
      <c r="AI162" s="318">
        <f>IF(AL162=2,IF(AH145=40,"сорок",IF(AH145=50,"пятьдесят",IF(AH145=60,"шестьдесят",""))),IF(AH145=40," сорок",IF(AH145=50," пятьдесят",IF(AH145=60," шестьдесят",""))))</f>
      </c>
      <c r="AJ162" s="318">
        <f>IF(AL162=2,IF(AH145=70,"семьдесят",IF(AH145=80,"восемьдесят",IF(AH145=90,"девяносто",""))),IF(AH145=70," семьдесят",IF(AH145=80," восемьдесят",IF(AH145=90," девяносто",""))))</f>
      </c>
      <c r="AK162" s="318"/>
      <c r="AL162" s="318">
        <f>IF(AND(AG171="",AG169="",AG170="",AG168="",AG167="",AG166="",AG165=""),1,0)+IF(AND(AG164="",AG163=""),1,0)</f>
        <v>2</v>
      </c>
      <c r="AM162" s="318"/>
    </row>
    <row r="163" spans="17:39" s="317" customFormat="1" ht="12" customHeight="1" hidden="1">
      <c r="Q163" s="442"/>
      <c r="R163" s="443"/>
      <c r="S163" s="443"/>
      <c r="T163" s="443"/>
      <c r="U163" s="318"/>
      <c r="V163" s="318"/>
      <c r="W163" s="318"/>
      <c r="X163" s="318"/>
      <c r="Y163" s="318"/>
      <c r="Z163" s="318"/>
      <c r="AA163" s="318"/>
      <c r="AB163" s="318"/>
      <c r="AC163" s="318"/>
      <c r="AD163" s="318"/>
      <c r="AE163" s="318">
        <f>IF(SUM(AH147:AH154)=0,PROPER(AG163),AG163)</f>
      </c>
      <c r="AF163" s="318">
        <v>8</v>
      </c>
      <c r="AG163" s="323">
        <f>AH163&amp;AJ163&amp;AI163</f>
      </c>
      <c r="AH163" s="318">
        <f>IF(AL163=2,IF(AH146=100,"сто",IF(AH146=200,"двести",IF(AH146=300,"триста",""))),IF(AH146=100," сто",IF(AH146=200," двести",IF(AH146=300," триста",""))))</f>
      </c>
      <c r="AI163" s="318">
        <f>IF(AL163=2,IF(AH146=400,"четыреста",IF(AH146=500,"пятьсот",IF(AH146=600,"шестьсот",""))),IF(AH146=400," четыреста",IF(AH146=500," пятьсот",IF(AH146=600," шестьсот",""))))</f>
      </c>
      <c r="AJ163" s="318">
        <f>IF(AL163=2,IF(AH146=700,"семьсот",IF(AH146=800,"восемьсот",IF(AH146=900,"девятьсот",""))),IF(AH146=700," семьсот",IF(AH146=800," восемьсот",IF(AH146=900," девятьсот",""))))</f>
      </c>
      <c r="AK163" s="318"/>
      <c r="AL163" s="318">
        <f>IF(AND(AG171="",AG169="",AG170="",AG168="",AG167="",AG166="",AG165=""),1,0)+IF(AG164="",1,0)</f>
        <v>2</v>
      </c>
      <c r="AM163" s="318"/>
    </row>
    <row r="164" spans="17:39" s="317" customFormat="1" ht="12" customHeight="1" hidden="1">
      <c r="Q164" s="442"/>
      <c r="R164" s="443"/>
      <c r="S164" s="443"/>
      <c r="T164" s="443"/>
      <c r="U164" s="318"/>
      <c r="V164" s="318"/>
      <c r="W164" s="318"/>
      <c r="X164" s="318"/>
      <c r="Y164" s="318"/>
      <c r="Z164" s="318"/>
      <c r="AA164" s="318"/>
      <c r="AB164" s="318"/>
      <c r="AC164" s="318"/>
      <c r="AD164" s="318"/>
      <c r="AE164" s="318">
        <f>IF(SUM(AH148:AH154)=0,PROPER(AG164),AG164)</f>
      </c>
      <c r="AF164" s="318">
        <v>9</v>
      </c>
      <c r="AG164" s="323">
        <f>IF(AND(AH148&lt;20,AH148&gt;10),"",AH164&amp;AJ164&amp;AI164)</f>
      </c>
      <c r="AH164" s="318">
        <f>IF(AL164=1,IF(AH147=1,"один",IF(AH147=2,"два",IF(AH147=3,"три",""))),IF(AH147=1," один",IF(AH147=2," два",IF(AH147=3," три",""))))</f>
      </c>
      <c r="AI164" s="318">
        <f>IF(AL164=1,IF(AH147=4,"четыре",IF(AH147=5,"пять",IF(AH147=6,"шесть",""))),IF(AH147=4," четыре",IF(AH147=5," пять",IF(AH147=6," шесть",""))))</f>
      </c>
      <c r="AJ164" s="318">
        <f>IF(AL164=1,IF(AH147=7,"семь",IF(AH147=8,"восемь",IF(AH147=9,"девять",""))),IF(AH147=7," семь",IF(AH147=8," восемь",IF(AH147=9," девять",""))))</f>
      </c>
      <c r="AK164" s="318">
        <f>IF(AND(AG164="",AG165="",AG166="",AG167=""),"",IF(AND(AH148&lt;20,AH148&gt;10)," миллионов",IF(AH147=1," миллион",IF(OR(AH147=2,AH147=3,AH147=4)," миллиона"," миллионов"))))</f>
      </c>
      <c r="AL164" s="318">
        <f>IF(AND(AG171="",AG169="",AG170="",AG168="",AG167="",AG166="",AG165=""),1,0)</f>
        <v>1</v>
      </c>
      <c r="AM164" s="318"/>
    </row>
    <row r="165" spans="17:39" s="317" customFormat="1" ht="12" customHeight="1" hidden="1">
      <c r="Q165" s="442"/>
      <c r="R165" s="443"/>
      <c r="S165" s="443"/>
      <c r="T165" s="443"/>
      <c r="U165" s="318"/>
      <c r="V165" s="318"/>
      <c r="W165" s="318"/>
      <c r="X165" s="318"/>
      <c r="Y165" s="318"/>
      <c r="Z165" s="318"/>
      <c r="AA165" s="318"/>
      <c r="AB165" s="318"/>
      <c r="AC165" s="318"/>
      <c r="AD165" s="318"/>
      <c r="AE165" s="318">
        <f>IF(SUM(AH150:AH154)=0,PROPER(AG165),AG165)</f>
      </c>
      <c r="AF165" s="318">
        <v>10</v>
      </c>
      <c r="AG165" s="323">
        <f>AH165&amp;AJ165&amp;AI165</f>
      </c>
      <c r="AH165" s="318">
        <f>IF(AL165=1,IF(AH148=11,"одиннадцать",IF(AH148=12,"двенадцать",IF(AH148=13,"тринадцать",""))),IF(AH148=11," одиннадцать",IF(AH148=12," двенадцать",IF(AH148=13," тринадцать",""))))</f>
      </c>
      <c r="AI165" s="318">
        <f>IF(AL165=1,IF(AH148=14,"четырнадцать",IF(AH148=15,"пятнадцать",IF(AH148=16,"шестнадцать",""))),IF(AH148=14," четырнадцать",IF(AH148=15," пятнадцать",IF(AH148=16," шестнадцать",""))))</f>
      </c>
      <c r="AJ165" s="318">
        <f>IF(AL165=1,IF(AH148=17,"семнадцать",IF(AH148=18,"восемнадцать",IF(AH148=19,"девятнадцать",""))),IF(AH148=17," семнадцать",IF(AH148=18," восемнадцать",IF(AH148=19," девятнадцать",""))))</f>
      </c>
      <c r="AK165" s="318"/>
      <c r="AL165" s="318">
        <f>IF(AND(AG171="",AG169="",AG170="",AG168="",AG167="",AG166=""),1,0)</f>
        <v>1</v>
      </c>
      <c r="AM165" s="318"/>
    </row>
    <row r="166" spans="17:39" s="317" customFormat="1" ht="12" customHeight="1" hidden="1">
      <c r="Q166" s="442"/>
      <c r="R166" s="443"/>
      <c r="S166" s="443"/>
      <c r="T166" s="443"/>
      <c r="U166" s="318"/>
      <c r="V166" s="318"/>
      <c r="W166" s="318"/>
      <c r="X166" s="318"/>
      <c r="Y166" s="318"/>
      <c r="Z166" s="318"/>
      <c r="AA166" s="318"/>
      <c r="AB166" s="318"/>
      <c r="AC166" s="318"/>
      <c r="AD166" s="318"/>
      <c r="AE166" s="318">
        <f>IF(SUM(AH150:AH154)=0,PROPER(AG166),AG166)</f>
      </c>
      <c r="AF166" s="318">
        <v>11</v>
      </c>
      <c r="AG166" s="323">
        <f>IF(AND(AH148&lt;20,AH148&gt;10),"",AH166&amp;AJ166&amp;AI166)</f>
      </c>
      <c r="AH166" s="318">
        <f>IF(AL166=1,IF(AH149=10,"десять",IF(AH149=20,"двадцать",IF(AH149=30,"тридцать",""))),IF(AH149=10," десять",IF(AH149=20," двадцать",IF(AH149=30," тридцать",""))))</f>
      </c>
      <c r="AI166" s="318">
        <f>IF(AL166=1,IF(AH149=40,"сорок",IF(AH149=50,"пятьдесят",IF(AH149=60,"шестьдесят",""))),IF(AH149=40," сорок",IF(AH149=50," пятьдесят",IF(AH149=60," шестьдесят",""))))</f>
      </c>
      <c r="AJ166" s="318">
        <f>IF(AL166=1,IF(AH149=70,"семьдесят",IF(AH149=80,"восемьдесят",IF(AH149=90,"девяносто",""))),IF(AH149=70," семьдесят",IF(AH149=80," восемьдесят",IF(AH149=90," девяносто",""))))</f>
      </c>
      <c r="AK166" s="318"/>
      <c r="AL166" s="318">
        <f>IF(AND(AG171="",AG169="",AG170="",AG168="",AG167=""),1,0)</f>
        <v>1</v>
      </c>
      <c r="AM166" s="318"/>
    </row>
    <row r="167" spans="17:39" s="317" customFormat="1" ht="12" customHeight="1" hidden="1">
      <c r="Q167" s="442"/>
      <c r="R167" s="443"/>
      <c r="S167" s="443"/>
      <c r="T167" s="443"/>
      <c r="U167" s="318"/>
      <c r="V167" s="318"/>
      <c r="W167" s="318"/>
      <c r="X167" s="318"/>
      <c r="Y167" s="318"/>
      <c r="Z167" s="318"/>
      <c r="AA167" s="318"/>
      <c r="AB167" s="318"/>
      <c r="AC167" s="318"/>
      <c r="AD167" s="318"/>
      <c r="AE167" s="318">
        <f>IF(SUM(AH151:AH154)=0,PROPER(AG167),AG167)</f>
      </c>
      <c r="AF167" s="318">
        <v>12</v>
      </c>
      <c r="AG167" s="323">
        <f>AH167&amp;AJ167&amp;AI167</f>
      </c>
      <c r="AH167" s="318">
        <f>IF(AL167=1,IF(AH150=100,"сто",IF(AH150=200,"двести",IF(AH150=300,"триста",""))),IF(AH150=100," сто",IF(AH150=200," двести",IF(AH150=300," триста",""))))</f>
      </c>
      <c r="AI167" s="318">
        <f>IF(AL167=1,IF(AH150=400,"четыреста",IF(AH150=500,"пятьсот",IF(AH150=600,"шестьсот",""))),IF(AH150=400," четыреста",IF(AH150=500," пятьсот",IF(AH150=600," шестьсот",""))))</f>
      </c>
      <c r="AJ167" s="318">
        <f>IF(AL167=1,IF(AH150=700,"семьсот",IF(AH150=800,"восемьсот",IF(AH150=900,"девятьсот",""))),IF(AH150=700," семьсот",IF(AH150=800," восемьсот",IF(AH150=900," девятьсот",""))))</f>
      </c>
      <c r="AK167" s="318"/>
      <c r="AL167" s="318">
        <f>IF(AND(AG171="",AG169="",AG170="",AG168=""),1,0)</f>
        <v>1</v>
      </c>
      <c r="AM167" s="318"/>
    </row>
    <row r="168" spans="17:39" s="317" customFormat="1" ht="12" customHeight="1" hidden="1">
      <c r="Q168" s="442"/>
      <c r="R168" s="443"/>
      <c r="S168" s="443"/>
      <c r="T168" s="443"/>
      <c r="U168" s="318"/>
      <c r="V168" s="318"/>
      <c r="W168" s="318"/>
      <c r="X168" s="318"/>
      <c r="Y168" s="318"/>
      <c r="Z168" s="318"/>
      <c r="AA168" s="318"/>
      <c r="AB168" s="318"/>
      <c r="AC168" s="318"/>
      <c r="AD168" s="318"/>
      <c r="AE168" s="318">
        <f>IF(SUM(AH152:AH154)=0,PROPER(AG168),AG168)</f>
      </c>
      <c r="AF168" s="318">
        <v>13</v>
      </c>
      <c r="AG168" s="323">
        <f>IF(AND(AH152&lt;20,AH152&gt;10),"",AH168&amp;AJ168&amp;AI168)</f>
      </c>
      <c r="AH168" s="318">
        <f>IF(AL168=1,IF(AH151=1,"один",IF(AH151=2,"два",IF(AH151=3,"три",""))),IF(AH151=1," один",IF(AH151=2," два",IF(AH151=3," три",""))))</f>
      </c>
      <c r="AI168" s="318">
        <f>IF(AL168=1,IF(AH151=4,"четыре",IF(AH151=5,"пять",IF(AH151=6,"шесть",""))),IF(AH151=4," четыре",IF(AH151=5," пять",IF(AH151=6," шесть",""))))</f>
      </c>
      <c r="AJ168" s="318">
        <f>IF(AL168=1,IF(AH151=7,"семь",IF(AH151=8,"восемь",IF(AH151=9,"девять",""))),IF(AH151=7," семь",IF(AH151=8," восемь",IF(AH151=9," девять",""))))</f>
      </c>
      <c r="AK168" s="318">
        <f>IF(AND(AG168="",AG169="",AG170="",AG171=""),"",IF(AND(AH152&lt;20,AH152&gt;10)," миллиардов",IF(AH151=1," миллиард",IF(OR(AH151=2,AH151=3,AH151=4)," миллиарда"," миллиардов"))))</f>
      </c>
      <c r="AL168" s="318">
        <f>IF(AND(AG171="",AG169="",AG170=""),1,0)</f>
        <v>1</v>
      </c>
      <c r="AM168" s="318"/>
    </row>
    <row r="169" spans="17:39" s="317" customFormat="1" ht="12" customHeight="1" hidden="1">
      <c r="Q169" s="442"/>
      <c r="R169" s="443"/>
      <c r="S169" s="443"/>
      <c r="T169" s="443"/>
      <c r="U169" s="318"/>
      <c r="V169" s="318"/>
      <c r="W169" s="318"/>
      <c r="X169" s="318"/>
      <c r="Y169" s="318"/>
      <c r="Z169" s="318"/>
      <c r="AA169" s="318"/>
      <c r="AB169" s="318"/>
      <c r="AC169" s="318"/>
      <c r="AD169" s="318"/>
      <c r="AE169" s="318">
        <f>IF(AH154=0,PROPER(AG169),AG169)</f>
      </c>
      <c r="AF169" s="318">
        <v>14</v>
      </c>
      <c r="AG169" s="323">
        <f>AH169&amp;AJ169&amp;AI169</f>
      </c>
      <c r="AH169" s="318">
        <f>IF(AL169=1,IF(AH152=11,"одиннадцать",IF(AH152=12,"двенадцать",IF(AH152=13,"тринадцать",""))),IF(AH152=11," одиннадцать",IF(AH152=12," двенадцать",IF(AH152=13," тринадцать",""))))</f>
      </c>
      <c r="AI169" s="318">
        <f>IF(AL169=1,IF(AH152=14,"четырнадцать",IF(AH152=15,"пятнадцать",IF(AH152=16,"шестнадцать",""))),IF(AH152=14," четырнадцать",IF(AH152=15," пятнадцать",IF(AH152=16," шестнадцать",""))))</f>
      </c>
      <c r="AJ169" s="318">
        <f>IF(AL169=1,IF(AH152=17,"семнадцать",IF(AH152=18,"восемнадцать",IF(AH152=19,"девятнадцать",""))),IF(AH152=17," семнадцать",IF(AH152=18," восемнадцать",IF(AH152=19," девятнадцать",""))))</f>
      </c>
      <c r="AK169" s="318"/>
      <c r="AL169" s="318">
        <f>IF(AND(AG170="",AG171=""),1,0)</f>
        <v>1</v>
      </c>
      <c r="AM169" s="318"/>
    </row>
    <row r="170" spans="17:39" s="317" customFormat="1" ht="12" customHeight="1" hidden="1">
      <c r="Q170" s="442"/>
      <c r="R170" s="443"/>
      <c r="S170" s="443"/>
      <c r="T170" s="443"/>
      <c r="U170" s="318"/>
      <c r="V170" s="318"/>
      <c r="W170" s="318"/>
      <c r="X170" s="318"/>
      <c r="Y170" s="318"/>
      <c r="Z170" s="318"/>
      <c r="AA170" s="318"/>
      <c r="AB170" s="318"/>
      <c r="AC170" s="318"/>
      <c r="AD170" s="318"/>
      <c r="AE170" s="318">
        <f>IF(SUM(AH154)=0,PROPER(AG170),AG170)</f>
      </c>
      <c r="AF170" s="318">
        <v>15</v>
      </c>
      <c r="AG170" s="323">
        <f>IF(AND(AH152&lt;20,AH152&gt;10),"",AH170&amp;AJ170&amp;AI170)</f>
      </c>
      <c r="AH170" s="318">
        <f>IF(AL170=1,IF(AH153=10,"десять",IF(AH153=20,"двадцать",IF(AH153=30,"тридцать",""))),IF(AH153=10," десять",IF(AH153=20," двадцать",IF(AH153=30," тридцать",""))))</f>
      </c>
      <c r="AI170" s="318">
        <f>IF(AL170=1,IF(AH153=40,"сорок",IF(AH153=50,"пятьдесят",IF(AH153=60,"шестьдесят",""))),IF(AH153=40," сорок",IF(AH153=50," пятьдесят",IF(AH153=60," шестьдесят",""))))</f>
      </c>
      <c r="AJ170" s="318">
        <f>IF(AL170=1,IF(AH153=70,"семьдесят",IF(AH153=80,"восемьдесят",IF(AH153=90,"девяносто",""))),IF(AH153=70," семьдесят",IF(AH153=80," восемьдесят",IF(AH153=90," девяносто",""))))</f>
      </c>
      <c r="AK170" s="318"/>
      <c r="AL170" s="318">
        <f>IF(AG171="",1,0)</f>
        <v>1</v>
      </c>
      <c r="AM170" s="318"/>
    </row>
    <row r="171" spans="17:39" s="317" customFormat="1" ht="12" customHeight="1" hidden="1">
      <c r="Q171" s="442"/>
      <c r="R171" s="443"/>
      <c r="S171" s="443"/>
      <c r="T171" s="443"/>
      <c r="U171" s="318"/>
      <c r="V171" s="318"/>
      <c r="W171" s="318"/>
      <c r="X171" s="318"/>
      <c r="Y171" s="318"/>
      <c r="Z171" s="318"/>
      <c r="AA171" s="318"/>
      <c r="AB171" s="318"/>
      <c r="AC171" s="318"/>
      <c r="AD171" s="318"/>
      <c r="AE171" s="318">
        <f>PROPER(AG171)</f>
      </c>
      <c r="AF171" s="318">
        <v>16</v>
      </c>
      <c r="AG171" s="323">
        <f>AH171&amp;AI171</f>
      </c>
      <c r="AH171" s="318">
        <f>IF(AH154=100,"сто",IF(AH154=200,"двести",IF(AH154=300,"триста",IF(AH154=400,"четыреста",IF(AH154=500,"пятьсот",IF(AH154=600,"шестьсот",""))))))</f>
      </c>
      <c r="AI171" s="318">
        <f>IF(AH154=700,"семьсот",IF(AH154=800,"восемьсот",IF(AH154=900,"девятьсот","")))</f>
      </c>
      <c r="AJ171" s="318"/>
      <c r="AK171" s="318"/>
      <c r="AL171" s="318"/>
      <c r="AM171" s="318"/>
    </row>
    <row r="172" spans="17:39" s="317" customFormat="1" ht="12" customHeight="1" hidden="1">
      <c r="Q172" s="442"/>
      <c r="R172" s="443"/>
      <c r="S172" s="443"/>
      <c r="T172" s="443"/>
      <c r="U172" s="318"/>
      <c r="V172" s="318"/>
      <c r="W172" s="318"/>
      <c r="X172" s="318"/>
      <c r="Y172" s="318"/>
      <c r="Z172" s="318"/>
      <c r="AA172" s="318"/>
      <c r="AB172" s="318"/>
      <c r="AC172" s="318"/>
      <c r="AD172" s="318"/>
      <c r="AE172" s="318"/>
      <c r="AF172" s="318"/>
      <c r="AG172" s="318"/>
      <c r="AH172" s="318"/>
      <c r="AI172" s="318"/>
      <c r="AJ172" s="318"/>
      <c r="AK172" s="318"/>
      <c r="AL172" s="318"/>
      <c r="AM172" s="318"/>
    </row>
    <row r="173" spans="17:39" s="317" customFormat="1" ht="12" customHeight="1" hidden="1">
      <c r="Q173" s="442"/>
      <c r="R173" s="443"/>
      <c r="S173" s="443"/>
      <c r="T173" s="443"/>
      <c r="U173" s="318"/>
      <c r="V173" s="318"/>
      <c r="W173" s="318"/>
      <c r="X173" s="318"/>
      <c r="Y173" s="318"/>
      <c r="Z173" s="318"/>
      <c r="AA173" s="318"/>
      <c r="AB173" s="318"/>
      <c r="AC173" s="318"/>
      <c r="AD173" s="318"/>
      <c r="AE173" s="318"/>
      <c r="AF173" s="318"/>
      <c r="AG173" s="318"/>
      <c r="AH173" s="318"/>
      <c r="AI173" s="318"/>
      <c r="AJ173" s="318"/>
      <c r="AK173" s="318"/>
      <c r="AL173" s="318"/>
      <c r="AM173" s="318"/>
    </row>
    <row r="174" spans="17:20" s="317" customFormat="1" ht="12" customHeight="1" hidden="1">
      <c r="Q174" s="442"/>
      <c r="R174" s="442"/>
      <c r="S174" s="442"/>
      <c r="T174" s="442"/>
    </row>
    <row r="175" spans="17:20" s="317" customFormat="1" ht="12" customHeight="1" hidden="1">
      <c r="Q175" s="442"/>
      <c r="R175" s="442"/>
      <c r="S175" s="442"/>
      <c r="T175" s="442"/>
    </row>
    <row r="176" spans="17:20" s="315" customFormat="1" ht="12" customHeight="1" hidden="1">
      <c r="Q176" s="444"/>
      <c r="R176" s="444"/>
      <c r="S176" s="444"/>
      <c r="T176" s="444"/>
    </row>
    <row r="177" spans="17:20" s="315" customFormat="1" ht="12" customHeight="1" hidden="1">
      <c r="Q177" s="444"/>
      <c r="R177" s="444"/>
      <c r="S177" s="444"/>
      <c r="T177" s="444"/>
    </row>
    <row r="178" spans="1:13" ht="12" customHeight="1" hidden="1">
      <c r="A178" s="236"/>
      <c r="B178" s="236"/>
      <c r="C178" s="236"/>
      <c r="D178" s="236"/>
      <c r="E178" s="236"/>
      <c r="F178" s="236"/>
      <c r="G178" s="236"/>
      <c r="H178" s="236"/>
      <c r="I178" s="236"/>
      <c r="J178" s="236"/>
      <c r="K178" s="236"/>
      <c r="L178" s="236"/>
      <c r="M178" s="236"/>
    </row>
    <row r="179" spans="1:13" ht="12" customHeight="1" hidden="1">
      <c r="A179" s="236"/>
      <c r="B179" s="236"/>
      <c r="C179" s="236"/>
      <c r="D179" s="236"/>
      <c r="E179" s="236"/>
      <c r="F179" s="236"/>
      <c r="G179" s="236"/>
      <c r="H179" s="236"/>
      <c r="I179" s="236"/>
      <c r="J179" s="236"/>
      <c r="K179" s="236"/>
      <c r="L179" s="236"/>
      <c r="M179" s="236"/>
    </row>
    <row r="180" spans="1:13" ht="12" customHeight="1" hidden="1">
      <c r="A180" s="236"/>
      <c r="B180" s="236"/>
      <c r="C180" s="236"/>
      <c r="D180" s="236"/>
      <c r="E180" s="236"/>
      <c r="F180" s="236"/>
      <c r="G180" s="236"/>
      <c r="H180" s="236"/>
      <c r="I180" s="236"/>
      <c r="J180" s="236"/>
      <c r="K180" s="236"/>
      <c r="L180" s="236"/>
      <c r="M180" s="236"/>
    </row>
    <row r="181" spans="1:13" ht="12" customHeight="1" hidden="1">
      <c r="A181" s="236"/>
      <c r="B181" s="236"/>
      <c r="C181" s="236"/>
      <c r="D181" s="236"/>
      <c r="E181" s="236"/>
      <c r="F181" s="236"/>
      <c r="G181" s="236"/>
      <c r="H181" s="236"/>
      <c r="I181" s="236"/>
      <c r="J181" s="236"/>
      <c r="K181" s="236"/>
      <c r="L181" s="236"/>
      <c r="M181" s="236"/>
    </row>
    <row r="182" spans="1:13" ht="12" customHeight="1" hidden="1">
      <c r="A182" s="236"/>
      <c r="B182" s="236"/>
      <c r="C182" s="236"/>
      <c r="D182" s="236"/>
      <c r="E182" s="236"/>
      <c r="F182" s="236"/>
      <c r="G182" s="236"/>
      <c r="H182" s="236"/>
      <c r="I182" s="236"/>
      <c r="J182" s="236"/>
      <c r="K182" s="236"/>
      <c r="L182" s="236"/>
      <c r="M182" s="236"/>
    </row>
    <row r="183" spans="1:13" ht="12" customHeight="1" hidden="1">
      <c r="A183" s="236"/>
      <c r="B183" s="236"/>
      <c r="C183" s="236"/>
      <c r="D183" s="236"/>
      <c r="E183" s="236"/>
      <c r="F183" s="236"/>
      <c r="G183" s="236"/>
      <c r="H183" s="236"/>
      <c r="I183" s="236"/>
      <c r="J183" s="236"/>
      <c r="K183" s="236"/>
      <c r="L183" s="236"/>
      <c r="M183" s="236"/>
    </row>
    <row r="184" spans="1:13" ht="12" customHeight="1" hidden="1">
      <c r="A184" s="236"/>
      <c r="B184" s="236"/>
      <c r="C184" s="236"/>
      <c r="D184" s="236"/>
      <c r="E184" s="236"/>
      <c r="F184" s="236"/>
      <c r="G184" s="236"/>
      <c r="H184" s="236"/>
      <c r="I184" s="236"/>
      <c r="J184" s="236"/>
      <c r="K184" s="236"/>
      <c r="L184" s="236"/>
      <c r="M184" s="236"/>
    </row>
    <row r="185" spans="1:13" ht="12" customHeight="1" hidden="1">
      <c r="A185" s="236"/>
      <c r="B185" s="236"/>
      <c r="C185" s="236"/>
      <c r="D185" s="236"/>
      <c r="E185" s="236"/>
      <c r="F185" s="236"/>
      <c r="G185" s="236"/>
      <c r="H185" s="236"/>
      <c r="I185" s="236"/>
      <c r="J185" s="236"/>
      <c r="K185" s="236"/>
      <c r="L185" s="236"/>
      <c r="M185" s="236"/>
    </row>
    <row r="186" spans="1:13" ht="12" customHeight="1" hidden="1">
      <c r="A186" s="236"/>
      <c r="B186" s="236"/>
      <c r="C186" s="236"/>
      <c r="D186" s="236"/>
      <c r="E186" s="236"/>
      <c r="F186" s="236"/>
      <c r="G186" s="236"/>
      <c r="H186" s="236"/>
      <c r="I186" s="236"/>
      <c r="J186" s="236"/>
      <c r="K186" s="236"/>
      <c r="L186" s="236"/>
      <c r="M186" s="236"/>
    </row>
    <row r="187" spans="1:13" ht="12" customHeight="1" hidden="1">
      <c r="A187" s="236"/>
      <c r="B187" s="236"/>
      <c r="C187" s="236"/>
      <c r="D187" s="236"/>
      <c r="E187" s="236"/>
      <c r="F187" s="236"/>
      <c r="G187" s="236"/>
      <c r="H187" s="236"/>
      <c r="I187" s="236"/>
      <c r="J187" s="236"/>
      <c r="K187" s="236"/>
      <c r="L187" s="236"/>
      <c r="M187" s="236"/>
    </row>
    <row r="188" spans="1:13" ht="12" customHeight="1" hidden="1">
      <c r="A188" s="236"/>
      <c r="B188" s="236"/>
      <c r="C188" s="236"/>
      <c r="D188" s="236"/>
      <c r="E188" s="236"/>
      <c r="F188" s="236"/>
      <c r="G188" s="236"/>
      <c r="H188" s="236"/>
      <c r="I188" s="236"/>
      <c r="J188" s="236"/>
      <c r="K188" s="236"/>
      <c r="L188" s="236"/>
      <c r="M188" s="236"/>
    </row>
    <row r="189" spans="1:13" ht="12" customHeight="1" hidden="1">
      <c r="A189" s="236"/>
      <c r="B189" s="236"/>
      <c r="C189" s="236"/>
      <c r="D189" s="236"/>
      <c r="E189" s="236"/>
      <c r="F189" s="236"/>
      <c r="G189" s="236"/>
      <c r="H189" s="236"/>
      <c r="I189" s="236"/>
      <c r="J189" s="236"/>
      <c r="K189" s="236"/>
      <c r="L189" s="236"/>
      <c r="M189" s="236"/>
    </row>
    <row r="190" spans="1:13" ht="12" customHeight="1" hidden="1">
      <c r="A190" s="236"/>
      <c r="B190" s="236"/>
      <c r="C190" s="236"/>
      <c r="D190" s="236"/>
      <c r="E190" s="236"/>
      <c r="F190" s="236"/>
      <c r="G190" s="236"/>
      <c r="H190" s="236"/>
      <c r="I190" s="236"/>
      <c r="J190" s="236"/>
      <c r="K190" s="236"/>
      <c r="L190" s="236"/>
      <c r="M190" s="236"/>
    </row>
    <row r="191" spans="1:13" ht="12" customHeight="1" hidden="1">
      <c r="A191" s="236"/>
      <c r="B191" s="236"/>
      <c r="C191" s="236"/>
      <c r="D191" s="236"/>
      <c r="E191" s="236"/>
      <c r="F191" s="236"/>
      <c r="G191" s="236"/>
      <c r="H191" s="236"/>
      <c r="I191" s="236"/>
      <c r="J191" s="236"/>
      <c r="K191" s="236"/>
      <c r="L191" s="236"/>
      <c r="M191" s="236"/>
    </row>
    <row r="192" spans="1:13" ht="12" customHeight="1" hidden="1">
      <c r="A192" s="236"/>
      <c r="B192" s="236"/>
      <c r="C192" s="236"/>
      <c r="D192" s="236"/>
      <c r="E192" s="236"/>
      <c r="F192" s="236"/>
      <c r="G192" s="236"/>
      <c r="H192" s="236"/>
      <c r="I192" s="236"/>
      <c r="J192" s="236"/>
      <c r="K192" s="236"/>
      <c r="L192" s="236"/>
      <c r="M192" s="236"/>
    </row>
    <row r="193" spans="1:13" ht="12" customHeight="1" hidden="1">
      <c r="A193" s="236"/>
      <c r="B193" s="236"/>
      <c r="C193" s="236"/>
      <c r="D193" s="236"/>
      <c r="E193" s="236"/>
      <c r="F193" s="236"/>
      <c r="G193" s="236"/>
      <c r="H193" s="236"/>
      <c r="I193" s="236"/>
      <c r="J193" s="236"/>
      <c r="K193" s="236"/>
      <c r="L193" s="236"/>
      <c r="M193" s="236"/>
    </row>
    <row r="194" spans="1:13" ht="12" customHeight="1" hidden="1">
      <c r="A194" s="236"/>
      <c r="B194" s="236"/>
      <c r="C194" s="236"/>
      <c r="D194" s="236"/>
      <c r="E194" s="236"/>
      <c r="F194" s="236"/>
      <c r="G194" s="236"/>
      <c r="H194" s="236"/>
      <c r="I194" s="236"/>
      <c r="J194" s="236"/>
      <c r="K194" s="236"/>
      <c r="L194" s="236"/>
      <c r="M194" s="236"/>
    </row>
    <row r="195" spans="1:13" ht="12" customHeight="1" hidden="1">
      <c r="A195" s="236"/>
      <c r="B195" s="236"/>
      <c r="C195" s="236"/>
      <c r="D195" s="236"/>
      <c r="E195" s="236"/>
      <c r="F195" s="236"/>
      <c r="G195" s="236"/>
      <c r="H195" s="236"/>
      <c r="I195" s="236"/>
      <c r="J195" s="236"/>
      <c r="K195" s="236"/>
      <c r="L195" s="236"/>
      <c r="M195" s="236"/>
    </row>
    <row r="196" spans="1:13" ht="12" customHeight="1" hidden="1">
      <c r="A196" s="236"/>
      <c r="B196" s="236"/>
      <c r="C196" s="236"/>
      <c r="D196" s="236"/>
      <c r="E196" s="236"/>
      <c r="F196" s="236"/>
      <c r="G196" s="236"/>
      <c r="H196" s="236"/>
      <c r="I196" s="236"/>
      <c r="J196" s="236"/>
      <c r="K196" s="236"/>
      <c r="L196" s="236"/>
      <c r="M196" s="236"/>
    </row>
    <row r="197" spans="1:13" ht="12" customHeight="1" hidden="1">
      <c r="A197" s="236"/>
      <c r="B197" s="236"/>
      <c r="C197" s="236"/>
      <c r="D197" s="236"/>
      <c r="E197" s="236"/>
      <c r="F197" s="236"/>
      <c r="G197" s="236"/>
      <c r="H197" s="236"/>
      <c r="I197" s="236"/>
      <c r="J197" s="236"/>
      <c r="K197" s="236"/>
      <c r="L197" s="236"/>
      <c r="M197" s="236"/>
    </row>
    <row r="198" spans="1:13" ht="12" customHeight="1" hidden="1">
      <c r="A198" s="236"/>
      <c r="B198" s="236"/>
      <c r="C198" s="236"/>
      <c r="D198" s="236"/>
      <c r="E198" s="236"/>
      <c r="F198" s="236"/>
      <c r="G198" s="236"/>
      <c r="H198" s="236"/>
      <c r="I198" s="236"/>
      <c r="J198" s="236"/>
      <c r="K198" s="236"/>
      <c r="L198" s="236"/>
      <c r="M198" s="236"/>
    </row>
    <row r="199" spans="1:13" ht="12" customHeight="1" hidden="1">
      <c r="A199" s="236"/>
      <c r="B199" s="236"/>
      <c r="C199" s="236"/>
      <c r="D199" s="236"/>
      <c r="E199" s="236"/>
      <c r="F199" s="236"/>
      <c r="G199" s="236"/>
      <c r="H199" s="236"/>
      <c r="I199" s="236"/>
      <c r="J199" s="236"/>
      <c r="K199" s="236"/>
      <c r="L199" s="236"/>
      <c r="M199" s="236"/>
    </row>
    <row r="200" spans="1:13" ht="12" customHeight="1" hidden="1">
      <c r="A200" s="236"/>
      <c r="B200" s="236"/>
      <c r="C200" s="236"/>
      <c r="D200" s="236"/>
      <c r="E200" s="236"/>
      <c r="F200" s="236"/>
      <c r="G200" s="236"/>
      <c r="H200" s="236"/>
      <c r="I200" s="236"/>
      <c r="J200" s="236"/>
      <c r="K200" s="236"/>
      <c r="L200" s="236"/>
      <c r="M200" s="236"/>
    </row>
    <row r="201" spans="1:13" ht="12" customHeight="1" hidden="1">
      <c r="A201" s="236"/>
      <c r="B201" s="236"/>
      <c r="C201" s="236"/>
      <c r="D201" s="236"/>
      <c r="E201" s="236"/>
      <c r="F201" s="236"/>
      <c r="G201" s="236"/>
      <c r="H201" s="236"/>
      <c r="I201" s="236"/>
      <c r="J201" s="236"/>
      <c r="K201" s="236"/>
      <c r="L201" s="236"/>
      <c r="M201" s="236"/>
    </row>
    <row r="202" spans="1:13" ht="12" customHeight="1" hidden="1">
      <c r="A202" s="236"/>
      <c r="B202" s="236"/>
      <c r="C202" s="236"/>
      <c r="D202" s="236"/>
      <c r="E202" s="236"/>
      <c r="F202" s="236"/>
      <c r="G202" s="236"/>
      <c r="H202" s="236"/>
      <c r="I202" s="236"/>
      <c r="J202" s="236"/>
      <c r="K202" s="236"/>
      <c r="L202" s="236"/>
      <c r="M202" s="236"/>
    </row>
    <row r="203" spans="1:12" ht="12" customHeight="1">
      <c r="A203" s="236"/>
      <c r="B203" s="236"/>
      <c r="C203" s="236"/>
      <c r="D203" s="236"/>
      <c r="E203" s="236"/>
      <c r="F203" s="236"/>
      <c r="G203" s="236"/>
      <c r="H203" s="236"/>
      <c r="I203" s="236"/>
      <c r="J203" s="236"/>
      <c r="K203" s="236"/>
      <c r="L203" s="236"/>
    </row>
    <row r="204" spans="1:12" ht="12" customHeight="1">
      <c r="A204" s="236"/>
      <c r="B204" s="236"/>
      <c r="C204" s="236"/>
      <c r="D204" s="236"/>
      <c r="E204" s="236"/>
      <c r="F204" s="236"/>
      <c r="G204" s="236"/>
      <c r="H204" s="236"/>
      <c r="I204" s="236"/>
      <c r="J204" s="236"/>
      <c r="K204" s="236"/>
      <c r="L204" s="236"/>
    </row>
    <row r="205" spans="1:12" ht="12" customHeight="1">
      <c r="A205" s="236"/>
      <c r="B205" s="236"/>
      <c r="C205" s="236"/>
      <c r="D205" s="236"/>
      <c r="E205" s="236"/>
      <c r="F205" s="236"/>
      <c r="G205" s="236"/>
      <c r="H205" s="236"/>
      <c r="I205" s="236"/>
      <c r="J205" s="236"/>
      <c r="K205" s="236"/>
      <c r="L205" s="236"/>
    </row>
    <row r="206" spans="1:12" ht="12" customHeight="1">
      <c r="A206" s="236"/>
      <c r="B206" s="236"/>
      <c r="C206" s="236"/>
      <c r="D206" s="236"/>
      <c r="E206" s="236"/>
      <c r="F206" s="236"/>
      <c r="G206" s="236"/>
      <c r="H206" s="236"/>
      <c r="I206" s="236"/>
      <c r="J206" s="236"/>
      <c r="K206" s="236"/>
      <c r="L206" s="236"/>
    </row>
    <row r="207" spans="1:12" ht="12" customHeight="1">
      <c r="A207" s="236"/>
      <c r="B207" s="236"/>
      <c r="C207" s="236"/>
      <c r="D207" s="236"/>
      <c r="E207" s="236"/>
      <c r="F207" s="236"/>
      <c r="G207" s="236"/>
      <c r="H207" s="236"/>
      <c r="I207" s="236"/>
      <c r="J207" s="236"/>
      <c r="K207" s="236"/>
      <c r="L207" s="236"/>
    </row>
    <row r="208" spans="1:12" ht="12" customHeight="1">
      <c r="A208" s="236"/>
      <c r="B208" s="236"/>
      <c r="C208" s="236"/>
      <c r="D208" s="236"/>
      <c r="E208" s="236"/>
      <c r="F208" s="236"/>
      <c r="G208" s="236"/>
      <c r="H208" s="236"/>
      <c r="I208" s="236"/>
      <c r="J208" s="236"/>
      <c r="K208" s="236"/>
      <c r="L208" s="236"/>
    </row>
    <row r="209" spans="1:12" ht="12" customHeight="1">
      <c r="A209" s="236"/>
      <c r="B209" s="236"/>
      <c r="C209" s="236"/>
      <c r="D209" s="236"/>
      <c r="E209" s="236"/>
      <c r="F209" s="236"/>
      <c r="G209" s="236"/>
      <c r="H209" s="236"/>
      <c r="I209" s="236"/>
      <c r="J209" s="236"/>
      <c r="K209" s="236"/>
      <c r="L209" s="236"/>
    </row>
    <row r="210" spans="1:12" ht="12" customHeight="1">
      <c r="A210" s="236"/>
      <c r="B210" s="236"/>
      <c r="C210" s="236"/>
      <c r="D210" s="236"/>
      <c r="E210" s="236"/>
      <c r="F210" s="236"/>
      <c r="G210" s="236"/>
      <c r="H210" s="236"/>
      <c r="I210" s="236"/>
      <c r="J210" s="236"/>
      <c r="K210" s="236"/>
      <c r="L210" s="236"/>
    </row>
    <row r="211" spans="1:12" ht="12" customHeight="1">
      <c r="A211" s="236"/>
      <c r="B211" s="236"/>
      <c r="C211" s="236"/>
      <c r="D211" s="236"/>
      <c r="E211" s="236"/>
      <c r="F211" s="236"/>
      <c r="G211" s="236"/>
      <c r="H211" s="236"/>
      <c r="I211" s="236"/>
      <c r="J211" s="236"/>
      <c r="K211" s="236"/>
      <c r="L211" s="236"/>
    </row>
    <row r="212" spans="1:12" ht="12" customHeight="1">
      <c r="A212" s="236"/>
      <c r="B212" s="236"/>
      <c r="C212" s="236"/>
      <c r="D212" s="236"/>
      <c r="E212" s="236"/>
      <c r="F212" s="236"/>
      <c r="G212" s="236"/>
      <c r="H212" s="236"/>
      <c r="I212" s="236"/>
      <c r="J212" s="236"/>
      <c r="K212" s="236"/>
      <c r="L212" s="236"/>
    </row>
    <row r="213" spans="1:12" ht="12" customHeight="1">
      <c r="A213" s="236"/>
      <c r="B213" s="236"/>
      <c r="C213" s="236"/>
      <c r="D213" s="236"/>
      <c r="E213" s="236"/>
      <c r="F213" s="236"/>
      <c r="G213" s="236"/>
      <c r="H213" s="236"/>
      <c r="I213" s="236"/>
      <c r="J213" s="236"/>
      <c r="K213" s="236"/>
      <c r="L213" s="236"/>
    </row>
    <row r="214" spans="1:12" ht="12" customHeight="1">
      <c r="A214" s="236"/>
      <c r="B214" s="236"/>
      <c r="C214" s="236"/>
      <c r="D214" s="236"/>
      <c r="E214" s="236"/>
      <c r="F214" s="236"/>
      <c r="G214" s="236"/>
      <c r="H214" s="236"/>
      <c r="I214" s="236"/>
      <c r="J214" s="236"/>
      <c r="K214" s="236"/>
      <c r="L214" s="236"/>
    </row>
    <row r="215" spans="1:12" ht="12" customHeight="1">
      <c r="A215" s="236"/>
      <c r="B215" s="236"/>
      <c r="C215" s="236"/>
      <c r="D215" s="236"/>
      <c r="E215" s="236"/>
      <c r="F215" s="236"/>
      <c r="G215" s="236"/>
      <c r="H215" s="236"/>
      <c r="I215" s="236"/>
      <c r="J215" s="236"/>
      <c r="K215" s="236"/>
      <c r="L215" s="236"/>
    </row>
    <row r="216" spans="1:12" ht="12" customHeight="1">
      <c r="A216" s="236"/>
      <c r="B216" s="236"/>
      <c r="C216" s="236"/>
      <c r="D216" s="236"/>
      <c r="E216" s="236"/>
      <c r="F216" s="236"/>
      <c r="G216" s="236"/>
      <c r="H216" s="236"/>
      <c r="I216" s="236"/>
      <c r="J216" s="236"/>
      <c r="K216" s="236"/>
      <c r="L216" s="236"/>
    </row>
    <row r="217" spans="1:12" ht="12" customHeight="1">
      <c r="A217" s="236"/>
      <c r="B217" s="236"/>
      <c r="C217" s="236"/>
      <c r="D217" s="236"/>
      <c r="E217" s="236"/>
      <c r="F217" s="236"/>
      <c r="G217" s="236"/>
      <c r="H217" s="236"/>
      <c r="I217" s="236"/>
      <c r="J217" s="236"/>
      <c r="K217" s="236"/>
      <c r="L217" s="236"/>
    </row>
    <row r="218" spans="1:12" ht="12" customHeight="1">
      <c r="A218" s="236"/>
      <c r="B218" s="236"/>
      <c r="C218" s="236"/>
      <c r="D218" s="236"/>
      <c r="E218" s="236"/>
      <c r="F218" s="236"/>
      <c r="G218" s="236"/>
      <c r="H218" s="236"/>
      <c r="I218" s="236"/>
      <c r="J218" s="236"/>
      <c r="K218" s="236"/>
      <c r="L218" s="236"/>
    </row>
    <row r="219" spans="1:12" ht="12" customHeight="1">
      <c r="A219" s="236"/>
      <c r="B219" s="236"/>
      <c r="C219" s="236"/>
      <c r="D219" s="236"/>
      <c r="E219" s="236"/>
      <c r="F219" s="236"/>
      <c r="G219" s="236"/>
      <c r="H219" s="236"/>
      <c r="I219" s="236"/>
      <c r="J219" s="236"/>
      <c r="K219" s="236"/>
      <c r="L219" s="236"/>
    </row>
    <row r="220" spans="1:12" ht="12" customHeight="1">
      <c r="A220" s="236"/>
      <c r="B220" s="236"/>
      <c r="C220" s="236"/>
      <c r="D220" s="236"/>
      <c r="E220" s="236"/>
      <c r="F220" s="236"/>
      <c r="G220" s="236"/>
      <c r="H220" s="236"/>
      <c r="I220" s="236"/>
      <c r="J220" s="236"/>
      <c r="K220" s="236"/>
      <c r="L220" s="236"/>
    </row>
    <row r="221" spans="1:12" ht="12" customHeight="1">
      <c r="A221" s="236"/>
      <c r="B221" s="236"/>
      <c r="C221" s="236"/>
      <c r="D221" s="236"/>
      <c r="E221" s="236"/>
      <c r="F221" s="236"/>
      <c r="G221" s="236"/>
      <c r="H221" s="236"/>
      <c r="I221" s="236"/>
      <c r="J221" s="236"/>
      <c r="K221" s="236"/>
      <c r="L221" s="236"/>
    </row>
    <row r="222" spans="1:12" ht="12" customHeight="1">
      <c r="A222" s="236"/>
      <c r="B222" s="236"/>
      <c r="C222" s="236"/>
      <c r="D222" s="236"/>
      <c r="E222" s="236"/>
      <c r="F222" s="236"/>
      <c r="G222" s="236"/>
      <c r="H222" s="236"/>
      <c r="I222" s="236"/>
      <c r="J222" s="236"/>
      <c r="K222" s="236"/>
      <c r="L222" s="236"/>
    </row>
    <row r="223" spans="1:12" ht="12" customHeight="1">
      <c r="A223" s="236"/>
      <c r="B223" s="236"/>
      <c r="C223" s="236"/>
      <c r="D223" s="236"/>
      <c r="E223" s="236"/>
      <c r="F223" s="236"/>
      <c r="G223" s="236"/>
      <c r="H223" s="236"/>
      <c r="I223" s="236"/>
      <c r="J223" s="236"/>
      <c r="K223" s="236"/>
      <c r="L223" s="236"/>
    </row>
    <row r="224" spans="1:12" ht="12" customHeight="1">
      <c r="A224" s="236"/>
      <c r="B224" s="236"/>
      <c r="C224" s="236"/>
      <c r="D224" s="236"/>
      <c r="E224" s="236"/>
      <c r="F224" s="236"/>
      <c r="G224" s="236"/>
      <c r="H224" s="236"/>
      <c r="I224" s="236"/>
      <c r="J224" s="236"/>
      <c r="K224" s="236"/>
      <c r="L224" s="236"/>
    </row>
    <row r="225" spans="1:12" ht="12" customHeight="1">
      <c r="A225" s="236"/>
      <c r="B225" s="236"/>
      <c r="C225" s="236"/>
      <c r="D225" s="236"/>
      <c r="E225" s="236"/>
      <c r="F225" s="236"/>
      <c r="G225" s="236"/>
      <c r="H225" s="236"/>
      <c r="I225" s="236"/>
      <c r="J225" s="236"/>
      <c r="K225" s="236"/>
      <c r="L225" s="236"/>
    </row>
    <row r="226" spans="1:12" ht="12" customHeight="1">
      <c r="A226" s="236"/>
      <c r="B226" s="236"/>
      <c r="C226" s="236"/>
      <c r="D226" s="236"/>
      <c r="E226" s="236"/>
      <c r="F226" s="236"/>
      <c r="G226" s="236"/>
      <c r="H226" s="236"/>
      <c r="I226" s="236"/>
      <c r="J226" s="236"/>
      <c r="K226" s="236"/>
      <c r="L226" s="236"/>
    </row>
    <row r="227" spans="1:12" ht="12" customHeight="1">
      <c r="A227" s="236"/>
      <c r="B227" s="236"/>
      <c r="C227" s="236"/>
      <c r="D227" s="236"/>
      <c r="E227" s="236"/>
      <c r="F227" s="236"/>
      <c r="G227" s="236"/>
      <c r="H227" s="236"/>
      <c r="I227" s="236"/>
      <c r="J227" s="236"/>
      <c r="K227" s="236"/>
      <c r="L227" s="236"/>
    </row>
    <row r="228" spans="1:12" ht="12" customHeight="1">
      <c r="A228" s="236"/>
      <c r="B228" s="236"/>
      <c r="C228" s="236"/>
      <c r="D228" s="236"/>
      <c r="E228" s="236"/>
      <c r="F228" s="236"/>
      <c r="G228" s="236"/>
      <c r="H228" s="236"/>
      <c r="I228" s="236"/>
      <c r="J228" s="236"/>
      <c r="K228" s="236"/>
      <c r="L228" s="236"/>
    </row>
    <row r="229" spans="1:12" ht="12" customHeight="1">
      <c r="A229" s="236"/>
      <c r="B229" s="236"/>
      <c r="C229" s="236"/>
      <c r="D229" s="236"/>
      <c r="E229" s="236"/>
      <c r="F229" s="236"/>
      <c r="G229" s="236"/>
      <c r="H229" s="236"/>
      <c r="I229" s="236"/>
      <c r="J229" s="236"/>
      <c r="K229" s="236"/>
      <c r="L229" s="236"/>
    </row>
    <row r="230" spans="1:12" ht="12" customHeight="1">
      <c r="A230" s="236"/>
      <c r="B230" s="236"/>
      <c r="C230" s="236"/>
      <c r="D230" s="236"/>
      <c r="E230" s="236"/>
      <c r="F230" s="236"/>
      <c r="G230" s="236"/>
      <c r="H230" s="236"/>
      <c r="I230" s="236"/>
      <c r="J230" s="236"/>
      <c r="K230" s="236"/>
      <c r="L230" s="236"/>
    </row>
    <row r="231" spans="1:12" ht="12" customHeight="1">
      <c r="A231" s="236"/>
      <c r="B231" s="236"/>
      <c r="C231" s="236"/>
      <c r="D231" s="236"/>
      <c r="E231" s="236"/>
      <c r="F231" s="236"/>
      <c r="G231" s="236"/>
      <c r="H231" s="236"/>
      <c r="I231" s="236"/>
      <c r="J231" s="236"/>
      <c r="K231" s="236"/>
      <c r="L231" s="236"/>
    </row>
    <row r="232" spans="1:12" ht="12" customHeight="1">
      <c r="A232" s="236"/>
      <c r="B232" s="236"/>
      <c r="C232" s="236"/>
      <c r="D232" s="236"/>
      <c r="E232" s="236"/>
      <c r="F232" s="236"/>
      <c r="G232" s="236"/>
      <c r="H232" s="236"/>
      <c r="I232" s="236"/>
      <c r="J232" s="236"/>
      <c r="K232" s="236"/>
      <c r="L232" s="236"/>
    </row>
    <row r="233" spans="1:12" ht="12" customHeight="1">
      <c r="A233" s="236"/>
      <c r="B233" s="236"/>
      <c r="C233" s="236"/>
      <c r="D233" s="236"/>
      <c r="E233" s="236"/>
      <c r="F233" s="236"/>
      <c r="G233" s="236"/>
      <c r="H233" s="236"/>
      <c r="I233" s="236"/>
      <c r="J233" s="236"/>
      <c r="K233" s="236"/>
      <c r="L233" s="236"/>
    </row>
    <row r="234" spans="1:12" ht="12" customHeight="1">
      <c r="A234" s="236"/>
      <c r="B234" s="236"/>
      <c r="C234" s="236"/>
      <c r="D234" s="236"/>
      <c r="E234" s="236"/>
      <c r="F234" s="236"/>
      <c r="G234" s="236"/>
      <c r="H234" s="236"/>
      <c r="I234" s="236"/>
      <c r="J234" s="236"/>
      <c r="K234" s="236"/>
      <c r="L234" s="236"/>
    </row>
    <row r="235" spans="1:12" ht="12" customHeight="1">
      <c r="A235" s="236"/>
      <c r="B235" s="236"/>
      <c r="C235" s="236"/>
      <c r="D235" s="236"/>
      <c r="E235" s="236"/>
      <c r="F235" s="236"/>
      <c r="G235" s="236"/>
      <c r="H235" s="236"/>
      <c r="I235" s="236"/>
      <c r="J235" s="236"/>
      <c r="K235" s="236"/>
      <c r="L235" s="236"/>
    </row>
    <row r="236" spans="1:12" ht="12" customHeight="1">
      <c r="A236" s="236"/>
      <c r="B236" s="236"/>
      <c r="C236" s="236"/>
      <c r="D236" s="236"/>
      <c r="E236" s="236"/>
      <c r="F236" s="236"/>
      <c r="G236" s="236"/>
      <c r="H236" s="236"/>
      <c r="I236" s="236"/>
      <c r="J236" s="236"/>
      <c r="K236" s="236"/>
      <c r="L236" s="236"/>
    </row>
    <row r="237" spans="1:12" ht="12" customHeight="1">
      <c r="A237" s="236"/>
      <c r="B237" s="236"/>
      <c r="C237" s="236"/>
      <c r="D237" s="236"/>
      <c r="E237" s="236"/>
      <c r="F237" s="236"/>
      <c r="G237" s="236"/>
      <c r="H237" s="236"/>
      <c r="I237" s="236"/>
      <c r="J237" s="236"/>
      <c r="K237" s="236"/>
      <c r="L237" s="236"/>
    </row>
    <row r="238" spans="1:12" ht="12" customHeight="1">
      <c r="A238" s="236"/>
      <c r="B238" s="236"/>
      <c r="C238" s="236"/>
      <c r="D238" s="236"/>
      <c r="E238" s="236"/>
      <c r="F238" s="236"/>
      <c r="G238" s="236"/>
      <c r="H238" s="236"/>
      <c r="I238" s="236"/>
      <c r="J238" s="236"/>
      <c r="K238" s="236"/>
      <c r="L238" s="236"/>
    </row>
    <row r="239" spans="1:12" ht="12" customHeight="1">
      <c r="A239" s="236"/>
      <c r="B239" s="236"/>
      <c r="C239" s="236"/>
      <c r="D239" s="236"/>
      <c r="E239" s="236"/>
      <c r="F239" s="236"/>
      <c r="G239" s="236"/>
      <c r="H239" s="236"/>
      <c r="I239" s="236"/>
      <c r="J239" s="236"/>
      <c r="K239" s="236"/>
      <c r="L239" s="236"/>
    </row>
    <row r="240" spans="1:12" ht="12" customHeight="1">
      <c r="A240" s="236"/>
      <c r="B240" s="236"/>
      <c r="C240" s="236"/>
      <c r="D240" s="236"/>
      <c r="E240" s="236"/>
      <c r="F240" s="236"/>
      <c r="G240" s="236"/>
      <c r="H240" s="236"/>
      <c r="I240" s="236"/>
      <c r="J240" s="236"/>
      <c r="K240" s="236"/>
      <c r="L240" s="236"/>
    </row>
    <row r="241" spans="1:12" ht="12" customHeight="1">
      <c r="A241" s="236"/>
      <c r="B241" s="236"/>
      <c r="C241" s="236"/>
      <c r="D241" s="236"/>
      <c r="E241" s="236"/>
      <c r="F241" s="236"/>
      <c r="G241" s="236"/>
      <c r="H241" s="236"/>
      <c r="I241" s="236"/>
      <c r="J241" s="236"/>
      <c r="K241" s="236"/>
      <c r="L241" s="236"/>
    </row>
    <row r="242" spans="1:12" ht="12" customHeight="1">
      <c r="A242" s="236"/>
      <c r="B242" s="236"/>
      <c r="C242" s="236"/>
      <c r="D242" s="236"/>
      <c r="E242" s="236"/>
      <c r="F242" s="236"/>
      <c r="G242" s="236"/>
      <c r="H242" s="236"/>
      <c r="I242" s="236"/>
      <c r="J242" s="236"/>
      <c r="K242" s="236"/>
      <c r="L242" s="236"/>
    </row>
    <row r="243" spans="1:12" ht="12" customHeight="1">
      <c r="A243" s="236"/>
      <c r="B243" s="236"/>
      <c r="C243" s="236"/>
      <c r="D243" s="236"/>
      <c r="E243" s="236"/>
      <c r="F243" s="236"/>
      <c r="G243" s="236"/>
      <c r="H243" s="236"/>
      <c r="I243" s="236"/>
      <c r="J243" s="236"/>
      <c r="K243" s="236"/>
      <c r="L243" s="236"/>
    </row>
    <row r="244" spans="1:12" ht="12" customHeight="1">
      <c r="A244" s="236"/>
      <c r="B244" s="236"/>
      <c r="C244" s="236"/>
      <c r="D244" s="236"/>
      <c r="E244" s="236"/>
      <c r="F244" s="236"/>
      <c r="G244" s="236"/>
      <c r="H244" s="236"/>
      <c r="I244" s="236"/>
      <c r="J244" s="236"/>
      <c r="K244" s="236"/>
      <c r="L244" s="236"/>
    </row>
    <row r="245" spans="1:12" ht="12" customHeight="1">
      <c r="A245" s="236"/>
      <c r="B245" s="236"/>
      <c r="C245" s="236"/>
      <c r="D245" s="236"/>
      <c r="E245" s="236"/>
      <c r="F245" s="236"/>
      <c r="G245" s="236"/>
      <c r="H245" s="236"/>
      <c r="I245" s="236"/>
      <c r="J245" s="236"/>
      <c r="K245" s="236"/>
      <c r="L245" s="236"/>
    </row>
    <row r="246" spans="1:12" ht="12" customHeight="1">
      <c r="A246" s="236"/>
      <c r="B246" s="236"/>
      <c r="C246" s="236"/>
      <c r="D246" s="236"/>
      <c r="E246" s="236"/>
      <c r="F246" s="236"/>
      <c r="G246" s="236"/>
      <c r="H246" s="236"/>
      <c r="I246" s="236"/>
      <c r="J246" s="236"/>
      <c r="K246" s="236"/>
      <c r="L246" s="236"/>
    </row>
    <row r="247" spans="1:12" ht="12" customHeight="1">
      <c r="A247" s="236"/>
      <c r="B247" s="236"/>
      <c r="C247" s="236"/>
      <c r="D247" s="236"/>
      <c r="E247" s="236"/>
      <c r="F247" s="236"/>
      <c r="G247" s="236"/>
      <c r="H247" s="236"/>
      <c r="I247" s="236"/>
      <c r="J247" s="236"/>
      <c r="K247" s="236"/>
      <c r="L247" s="236"/>
    </row>
    <row r="248" spans="1:12" ht="12" customHeight="1">
      <c r="A248" s="236"/>
      <c r="B248" s="236"/>
      <c r="C248" s="236"/>
      <c r="D248" s="236"/>
      <c r="E248" s="236"/>
      <c r="F248" s="236"/>
      <c r="G248" s="236"/>
      <c r="H248" s="236"/>
      <c r="I248" s="236"/>
      <c r="J248" s="236"/>
      <c r="K248" s="236"/>
      <c r="L248" s="236"/>
    </row>
    <row r="249" spans="1:12" ht="12" customHeight="1">
      <c r="A249" s="236"/>
      <c r="B249" s="236"/>
      <c r="C249" s="236"/>
      <c r="D249" s="236"/>
      <c r="E249" s="236"/>
      <c r="F249" s="236"/>
      <c r="G249" s="236"/>
      <c r="H249" s="236"/>
      <c r="I249" s="236"/>
      <c r="J249" s="236"/>
      <c r="K249" s="236"/>
      <c r="L249" s="236"/>
    </row>
    <row r="250" spans="1:12" ht="12" customHeight="1">
      <c r="A250" s="236"/>
      <c r="B250" s="236"/>
      <c r="C250" s="236"/>
      <c r="D250" s="236"/>
      <c r="E250" s="236"/>
      <c r="F250" s="236"/>
      <c r="G250" s="236"/>
      <c r="H250" s="236"/>
      <c r="I250" s="236"/>
      <c r="J250" s="236"/>
      <c r="K250" s="236"/>
      <c r="L250" s="236"/>
    </row>
    <row r="251" spans="1:12" ht="12" customHeight="1">
      <c r="A251" s="236"/>
      <c r="B251" s="236"/>
      <c r="C251" s="236"/>
      <c r="D251" s="236"/>
      <c r="E251" s="236"/>
      <c r="F251" s="236"/>
      <c r="G251" s="236"/>
      <c r="H251" s="236"/>
      <c r="I251" s="236"/>
      <c r="J251" s="236"/>
      <c r="K251" s="236"/>
      <c r="L251" s="236"/>
    </row>
    <row r="252" spans="1:12" ht="12" customHeight="1">
      <c r="A252" s="236"/>
      <c r="B252" s="236"/>
      <c r="C252" s="236"/>
      <c r="D252" s="236"/>
      <c r="E252" s="236"/>
      <c r="F252" s="236"/>
      <c r="G252" s="236"/>
      <c r="H252" s="236"/>
      <c r="I252" s="236"/>
      <c r="J252" s="236"/>
      <c r="K252" s="236"/>
      <c r="L252" s="236"/>
    </row>
    <row r="253" spans="1:12" ht="12" customHeight="1">
      <c r="A253" s="236"/>
      <c r="B253" s="236"/>
      <c r="C253" s="236"/>
      <c r="D253" s="236"/>
      <c r="E253" s="236"/>
      <c r="F253" s="236"/>
      <c r="G253" s="236"/>
      <c r="H253" s="236"/>
      <c r="I253" s="236"/>
      <c r="J253" s="236"/>
      <c r="K253" s="236"/>
      <c r="L253" s="236"/>
    </row>
    <row r="254" spans="1:12" ht="12" customHeight="1">
      <c r="A254" s="236"/>
      <c r="B254" s="236"/>
      <c r="C254" s="236"/>
      <c r="D254" s="236"/>
      <c r="E254" s="236"/>
      <c r="F254" s="236"/>
      <c r="G254" s="236"/>
      <c r="H254" s="236"/>
      <c r="I254" s="236"/>
      <c r="J254" s="236"/>
      <c r="K254" s="236"/>
      <c r="L254" s="236"/>
    </row>
    <row r="255" spans="1:12" ht="12" customHeight="1">
      <c r="A255" s="236"/>
      <c r="B255" s="236"/>
      <c r="C255" s="236"/>
      <c r="D255" s="236"/>
      <c r="E255" s="236"/>
      <c r="F255" s="236"/>
      <c r="G255" s="236"/>
      <c r="H255" s="236"/>
      <c r="I255" s="236"/>
      <c r="J255" s="236"/>
      <c r="K255" s="236"/>
      <c r="L255" s="236"/>
    </row>
    <row r="256" spans="1:12" ht="12" customHeight="1">
      <c r="A256" s="236"/>
      <c r="B256" s="236"/>
      <c r="C256" s="236"/>
      <c r="D256" s="236"/>
      <c r="E256" s="236"/>
      <c r="F256" s="236"/>
      <c r="G256" s="236"/>
      <c r="H256" s="236"/>
      <c r="I256" s="236"/>
      <c r="J256" s="236"/>
      <c r="K256" s="236"/>
      <c r="L256" s="236"/>
    </row>
    <row r="257" spans="1:12" ht="12" customHeight="1">
      <c r="A257" s="236"/>
      <c r="B257" s="236"/>
      <c r="C257" s="236"/>
      <c r="D257" s="236"/>
      <c r="E257" s="236"/>
      <c r="F257" s="236"/>
      <c r="G257" s="236"/>
      <c r="H257" s="236"/>
      <c r="I257" s="236"/>
      <c r="J257" s="236"/>
      <c r="K257" s="236"/>
      <c r="L257" s="236"/>
    </row>
    <row r="258" spans="1:12" ht="12" customHeight="1">
      <c r="A258" s="236"/>
      <c r="B258" s="236"/>
      <c r="C258" s="236"/>
      <c r="D258" s="236"/>
      <c r="E258" s="236"/>
      <c r="F258" s="236"/>
      <c r="G258" s="236"/>
      <c r="H258" s="236"/>
      <c r="I258" s="236"/>
      <c r="J258" s="236"/>
      <c r="K258" s="236"/>
      <c r="L258" s="236"/>
    </row>
    <row r="259" spans="1:12" ht="12" customHeight="1">
      <c r="A259" s="236"/>
      <c r="B259" s="236"/>
      <c r="C259" s="236"/>
      <c r="D259" s="236"/>
      <c r="E259" s="236"/>
      <c r="F259" s="236"/>
      <c r="G259" s="236"/>
      <c r="H259" s="236"/>
      <c r="I259" s="236"/>
      <c r="J259" s="236"/>
      <c r="K259" s="236"/>
      <c r="L259" s="236"/>
    </row>
    <row r="260" spans="1:12" ht="12" customHeight="1">
      <c r="A260" s="236"/>
      <c r="B260" s="236"/>
      <c r="C260" s="236"/>
      <c r="D260" s="236"/>
      <c r="E260" s="236"/>
      <c r="F260" s="236"/>
      <c r="G260" s="236"/>
      <c r="H260" s="236"/>
      <c r="I260" s="236"/>
      <c r="J260" s="236"/>
      <c r="K260" s="236"/>
      <c r="L260" s="236"/>
    </row>
    <row r="261" spans="1:12" ht="12" customHeight="1">
      <c r="A261" s="236"/>
      <c r="B261" s="236"/>
      <c r="C261" s="236"/>
      <c r="D261" s="236"/>
      <c r="E261" s="236"/>
      <c r="F261" s="236"/>
      <c r="G261" s="236"/>
      <c r="H261" s="236"/>
      <c r="I261" s="236"/>
      <c r="J261" s="236"/>
      <c r="K261" s="236"/>
      <c r="L261" s="236"/>
    </row>
    <row r="262" spans="1:12" ht="12" customHeight="1">
      <c r="A262" s="236"/>
      <c r="B262" s="236"/>
      <c r="C262" s="236"/>
      <c r="D262" s="236"/>
      <c r="E262" s="236"/>
      <c r="F262" s="236"/>
      <c r="G262" s="236"/>
      <c r="H262" s="236"/>
      <c r="I262" s="236"/>
      <c r="J262" s="236"/>
      <c r="K262" s="236"/>
      <c r="L262" s="236"/>
    </row>
    <row r="263" spans="1:12" ht="12" customHeight="1">
      <c r="A263" s="236"/>
      <c r="B263" s="236"/>
      <c r="C263" s="236"/>
      <c r="D263" s="236"/>
      <c r="E263" s="236"/>
      <c r="F263" s="236"/>
      <c r="G263" s="236"/>
      <c r="H263" s="236"/>
      <c r="I263" s="236"/>
      <c r="J263" s="236"/>
      <c r="K263" s="236"/>
      <c r="L263" s="236"/>
    </row>
    <row r="264" spans="1:12" ht="12" customHeight="1">
      <c r="A264" s="236"/>
      <c r="B264" s="236"/>
      <c r="C264" s="236"/>
      <c r="D264" s="236"/>
      <c r="E264" s="236"/>
      <c r="F264" s="236"/>
      <c r="G264" s="236"/>
      <c r="H264" s="236"/>
      <c r="I264" s="236"/>
      <c r="J264" s="236"/>
      <c r="K264" s="236"/>
      <c r="L264" s="236"/>
    </row>
    <row r="265" spans="1:12" ht="12" customHeight="1">
      <c r="A265" s="236"/>
      <c r="B265" s="236"/>
      <c r="C265" s="236"/>
      <c r="D265" s="236"/>
      <c r="E265" s="236"/>
      <c r="F265" s="236"/>
      <c r="G265" s="236"/>
      <c r="H265" s="236"/>
      <c r="I265" s="236"/>
      <c r="J265" s="236"/>
      <c r="K265" s="236"/>
      <c r="L265" s="236"/>
    </row>
    <row r="266" spans="1:12" ht="12" customHeight="1">
      <c r="A266" s="236"/>
      <c r="B266" s="236"/>
      <c r="C266" s="236"/>
      <c r="D266" s="236"/>
      <c r="E266" s="236"/>
      <c r="F266" s="236"/>
      <c r="G266" s="236"/>
      <c r="H266" s="236"/>
      <c r="I266" s="236"/>
      <c r="J266" s="236"/>
      <c r="K266" s="236"/>
      <c r="L266" s="236"/>
    </row>
    <row r="267" spans="1:12" ht="12" customHeight="1">
      <c r="A267" s="236"/>
      <c r="B267" s="236"/>
      <c r="C267" s="236"/>
      <c r="D267" s="236"/>
      <c r="E267" s="236"/>
      <c r="F267" s="236"/>
      <c r="G267" s="236"/>
      <c r="H267" s="236"/>
      <c r="I267" s="236"/>
      <c r="J267" s="236"/>
      <c r="K267" s="236"/>
      <c r="L267" s="236"/>
    </row>
    <row r="268" spans="1:12" ht="12" customHeight="1">
      <c r="A268" s="236"/>
      <c r="B268" s="236"/>
      <c r="C268" s="236"/>
      <c r="D268" s="236"/>
      <c r="E268" s="236"/>
      <c r="F268" s="236"/>
      <c r="G268" s="236"/>
      <c r="H268" s="236"/>
      <c r="I268" s="236"/>
      <c r="J268" s="236"/>
      <c r="K268" s="236"/>
      <c r="L268" s="236"/>
    </row>
    <row r="269" spans="1:12" ht="12" customHeight="1">
      <c r="A269" s="236"/>
      <c r="B269" s="236"/>
      <c r="C269" s="236"/>
      <c r="D269" s="236"/>
      <c r="E269" s="236"/>
      <c r="F269" s="236"/>
      <c r="G269" s="236"/>
      <c r="H269" s="236"/>
      <c r="I269" s="236"/>
      <c r="J269" s="236"/>
      <c r="K269" s="236"/>
      <c r="L269" s="236"/>
    </row>
    <row r="270" spans="1:12" ht="12" customHeight="1">
      <c r="A270" s="236"/>
      <c r="B270" s="236"/>
      <c r="C270" s="236"/>
      <c r="D270" s="236"/>
      <c r="E270" s="236"/>
      <c r="F270" s="236"/>
      <c r="G270" s="236"/>
      <c r="H270" s="236"/>
      <c r="I270" s="236"/>
      <c r="J270" s="236"/>
      <c r="K270" s="236"/>
      <c r="L270" s="236"/>
    </row>
    <row r="271" spans="1:12" ht="12" customHeight="1">
      <c r="A271" s="236"/>
      <c r="B271" s="236"/>
      <c r="C271" s="236"/>
      <c r="D271" s="236"/>
      <c r="E271" s="236"/>
      <c r="F271" s="236"/>
      <c r="G271" s="236"/>
      <c r="H271" s="236"/>
      <c r="I271" s="236"/>
      <c r="J271" s="236"/>
      <c r="K271" s="236"/>
      <c r="L271" s="236"/>
    </row>
    <row r="272" spans="1:12" ht="12" customHeight="1">
      <c r="A272" s="236"/>
      <c r="B272" s="236"/>
      <c r="C272" s="236"/>
      <c r="D272" s="236"/>
      <c r="E272" s="236"/>
      <c r="F272" s="236"/>
      <c r="G272" s="236"/>
      <c r="H272" s="236"/>
      <c r="I272" s="236"/>
      <c r="J272" s="236"/>
      <c r="K272" s="236"/>
      <c r="L272" s="236"/>
    </row>
    <row r="273" spans="1:12" ht="12" customHeight="1">
      <c r="A273" s="236"/>
      <c r="B273" s="236"/>
      <c r="C273" s="236"/>
      <c r="D273" s="236"/>
      <c r="E273" s="236"/>
      <c r="F273" s="236"/>
      <c r="G273" s="236"/>
      <c r="H273" s="236"/>
      <c r="I273" s="236"/>
      <c r="J273" s="236"/>
      <c r="K273" s="236"/>
      <c r="L273" s="236"/>
    </row>
    <row r="274" spans="1:12" ht="12" customHeight="1">
      <c r="A274" s="236"/>
      <c r="B274" s="236"/>
      <c r="C274" s="236"/>
      <c r="D274" s="236"/>
      <c r="E274" s="236"/>
      <c r="F274" s="236"/>
      <c r="G274" s="236"/>
      <c r="H274" s="236"/>
      <c r="I274" s="236"/>
      <c r="J274" s="236"/>
      <c r="K274" s="236"/>
      <c r="L274" s="236"/>
    </row>
    <row r="275" ht="12" customHeight="1"/>
  </sheetData>
  <sheetProtection/>
  <mergeCells count="145">
    <mergeCell ref="M19:M20"/>
    <mergeCell ref="C14:H14"/>
    <mergeCell ref="C19:D20"/>
    <mergeCell ref="C15:M15"/>
    <mergeCell ref="V2:Y2"/>
    <mergeCell ref="C3:M3"/>
    <mergeCell ref="V3:W7"/>
    <mergeCell ref="X3:X7"/>
    <mergeCell ref="Y3:Y7"/>
    <mergeCell ref="C4:J4"/>
    <mergeCell ref="E6:J6"/>
    <mergeCell ref="E38:H38"/>
    <mergeCell ref="E23:H23"/>
    <mergeCell ref="E24:H24"/>
    <mergeCell ref="E20:H20"/>
    <mergeCell ref="C8:D8"/>
    <mergeCell ref="E8:J8"/>
    <mergeCell ref="C9:D9"/>
    <mergeCell ref="F10:G10"/>
    <mergeCell ref="C11:D11"/>
    <mergeCell ref="C13:H13"/>
    <mergeCell ref="F112:H112"/>
    <mergeCell ref="C37:C40"/>
    <mergeCell ref="C45:J45"/>
    <mergeCell ref="E26:I26"/>
    <mergeCell ref="E27:H27"/>
    <mergeCell ref="E28:H28"/>
    <mergeCell ref="E34:I34"/>
    <mergeCell ref="E35:H35"/>
    <mergeCell ref="E36:H36"/>
    <mergeCell ref="E37:H37"/>
    <mergeCell ref="F114:H114"/>
    <mergeCell ref="E39:I39"/>
    <mergeCell ref="E40:H40"/>
    <mergeCell ref="E41:H41"/>
    <mergeCell ref="K126:L126"/>
    <mergeCell ref="E42:H42"/>
    <mergeCell ref="C43:K43"/>
    <mergeCell ref="C44:J44"/>
    <mergeCell ref="E62:H62"/>
    <mergeCell ref="F111:H111"/>
    <mergeCell ref="F106:H106"/>
    <mergeCell ref="F107:H107"/>
    <mergeCell ref="F108:H108"/>
    <mergeCell ref="F109:H109"/>
    <mergeCell ref="F113:H113"/>
    <mergeCell ref="C126:F126"/>
    <mergeCell ref="H126:I126"/>
    <mergeCell ref="C110:D110"/>
    <mergeCell ref="F110:H110"/>
    <mergeCell ref="C114:D114"/>
    <mergeCell ref="C125:F125"/>
    <mergeCell ref="K125:L125"/>
    <mergeCell ref="H125:I125"/>
    <mergeCell ref="V119:AB119"/>
    <mergeCell ref="C120:L120"/>
    <mergeCell ref="V120:W122"/>
    <mergeCell ref="X120:X122"/>
    <mergeCell ref="Y120:Z122"/>
    <mergeCell ref="AA120:AA122"/>
    <mergeCell ref="AB120:AB122"/>
    <mergeCell ref="G123:I123"/>
    <mergeCell ref="C121:L121"/>
    <mergeCell ref="G122:I122"/>
    <mergeCell ref="F115:H115"/>
    <mergeCell ref="F116:H116"/>
    <mergeCell ref="F117:H117"/>
    <mergeCell ref="F118:H118"/>
    <mergeCell ref="C117:D117"/>
    <mergeCell ref="C118:D118"/>
    <mergeCell ref="C119:K119"/>
    <mergeCell ref="E25:H25"/>
    <mergeCell ref="C24:C27"/>
    <mergeCell ref="C31:J31"/>
    <mergeCell ref="C30:K30"/>
    <mergeCell ref="E19:I19"/>
    <mergeCell ref="J19:J20"/>
    <mergeCell ref="K19:K20"/>
    <mergeCell ref="C46:K46"/>
    <mergeCell ref="E47:I47"/>
    <mergeCell ref="E48:H48"/>
    <mergeCell ref="E49:H49"/>
    <mergeCell ref="L19:L20"/>
    <mergeCell ref="E21:I21"/>
    <mergeCell ref="E22:H22"/>
    <mergeCell ref="C33:K33"/>
    <mergeCell ref="E29:H29"/>
    <mergeCell ref="C32:J32"/>
    <mergeCell ref="E54:H54"/>
    <mergeCell ref="E55:H55"/>
    <mergeCell ref="C56:K56"/>
    <mergeCell ref="C57:J57"/>
    <mergeCell ref="C50:C53"/>
    <mergeCell ref="E50:H50"/>
    <mergeCell ref="E51:H51"/>
    <mergeCell ref="E52:I52"/>
    <mergeCell ref="E53:H53"/>
    <mergeCell ref="C63:C66"/>
    <mergeCell ref="E63:H63"/>
    <mergeCell ref="E64:H64"/>
    <mergeCell ref="E65:I65"/>
    <mergeCell ref="E66:H66"/>
    <mergeCell ref="C58:J58"/>
    <mergeCell ref="C59:K59"/>
    <mergeCell ref="E60:I60"/>
    <mergeCell ref="E61:H61"/>
    <mergeCell ref="C71:J71"/>
    <mergeCell ref="C72:K72"/>
    <mergeCell ref="E73:I73"/>
    <mergeCell ref="E74:H74"/>
    <mergeCell ref="E67:H67"/>
    <mergeCell ref="E68:H68"/>
    <mergeCell ref="C69:K69"/>
    <mergeCell ref="C70:J70"/>
    <mergeCell ref="C82:K82"/>
    <mergeCell ref="C83:J83"/>
    <mergeCell ref="E75:H75"/>
    <mergeCell ref="C76:C79"/>
    <mergeCell ref="E76:H76"/>
    <mergeCell ref="E77:H77"/>
    <mergeCell ref="E78:I78"/>
    <mergeCell ref="E79:H79"/>
    <mergeCell ref="C104:M104"/>
    <mergeCell ref="C100:I100"/>
    <mergeCell ref="E93:H93"/>
    <mergeCell ref="E94:H94"/>
    <mergeCell ref="C95:K95"/>
    <mergeCell ref="C96:J96"/>
    <mergeCell ref="C99:J99"/>
    <mergeCell ref="E88:H88"/>
    <mergeCell ref="C89:C92"/>
    <mergeCell ref="E89:H89"/>
    <mergeCell ref="E90:H90"/>
    <mergeCell ref="E91:I91"/>
    <mergeCell ref="E92:H92"/>
    <mergeCell ref="B1:M2"/>
    <mergeCell ref="F9:G9"/>
    <mergeCell ref="C97:J97"/>
    <mergeCell ref="C98:K98"/>
    <mergeCell ref="C84:J84"/>
    <mergeCell ref="C85:K85"/>
    <mergeCell ref="E86:I86"/>
    <mergeCell ref="E87:H87"/>
    <mergeCell ref="E80:H80"/>
    <mergeCell ref="E81:H81"/>
  </mergeCells>
  <conditionalFormatting sqref="K10">
    <cfRule type="cellIs" priority="1" dxfId="4" operator="equal" stopIfTrue="1">
      <formula>0</formula>
    </cfRule>
  </conditionalFormatting>
  <conditionalFormatting sqref="I10:J10">
    <cfRule type="cellIs" priority="2" dxfId="2" operator="notEqual" stopIfTrue="1">
      <formula>"Начало нетрудоспособности"</formula>
    </cfRule>
  </conditionalFormatting>
  <dataValidations count="2">
    <dataValidation type="custom" allowBlank="1" showInputMessage="1" showErrorMessage="1" sqref="AA123">
      <formula1>AB123</formula1>
    </dataValidation>
    <dataValidation type="list" allowBlank="1" showInputMessage="1" showErrorMessage="1" sqref="C133">
      <formula1>$AP$20:$AP$21</formula1>
    </dataValidation>
  </dataValidations>
  <printOptions/>
  <pageMargins left="0.3937007874015748" right="0.3937007874015748" top="0.3937007874015748" bottom="0.3937007874015748" header="0.1968503937007874" footer="0.1968503937007874"/>
  <pageSetup horizontalDpi="600" verticalDpi="600" orientation="portrait" paperSize="9" scale="84"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11"/>
  </sheetPr>
  <dimension ref="B1:Q45"/>
  <sheetViews>
    <sheetView zoomScalePageLayoutView="0" workbookViewId="0" topLeftCell="A1">
      <pane ySplit="2" topLeftCell="A3" activePane="bottomLeft" state="frozen"/>
      <selection pane="topLeft" activeCell="A1" sqref="A1"/>
      <selection pane="bottomLeft" activeCell="A1" sqref="A1"/>
    </sheetView>
  </sheetViews>
  <sheetFormatPr defaultColWidth="8.875" defaultRowHeight="12.75"/>
  <cols>
    <col min="1" max="2" width="2.75390625" style="49" customWidth="1"/>
    <col min="3" max="3" width="10.375" style="49" customWidth="1"/>
    <col min="4" max="4" width="5.25390625" style="49" customWidth="1"/>
    <col min="5" max="5" width="12.00390625" style="49" customWidth="1"/>
    <col min="6" max="6" width="10.75390625" style="49" customWidth="1"/>
    <col min="7" max="7" width="11.00390625" style="49" customWidth="1"/>
    <col min="8" max="8" width="12.375" style="49" customWidth="1"/>
    <col min="9" max="9" width="13.25390625" style="49" customWidth="1"/>
    <col min="10" max="10" width="14.125" style="49" customWidth="1"/>
    <col min="11" max="11" width="12.25390625" style="49" customWidth="1"/>
    <col min="12" max="103" width="2.75390625" style="49" customWidth="1"/>
    <col min="104" max="16384" width="8.875" style="49" customWidth="1"/>
  </cols>
  <sheetData>
    <row r="1" spans="2:12" ht="10.5">
      <c r="B1" s="456" t="s">
        <v>177</v>
      </c>
      <c r="C1" s="456"/>
      <c r="D1" s="456"/>
      <c r="E1" s="456"/>
      <c r="F1" s="456"/>
      <c r="G1" s="456"/>
      <c r="H1" s="456"/>
      <c r="I1" s="456"/>
      <c r="J1" s="456"/>
      <c r="K1" s="456"/>
      <c r="L1" s="456"/>
    </row>
    <row r="2" spans="2:12" ht="11.25" thickBot="1">
      <c r="B2" s="457"/>
      <c r="C2" s="457"/>
      <c r="D2" s="457"/>
      <c r="E2" s="457"/>
      <c r="F2" s="457"/>
      <c r="G2" s="457"/>
      <c r="H2" s="457"/>
      <c r="I2" s="457"/>
      <c r="J2" s="457"/>
      <c r="K2" s="457"/>
      <c r="L2" s="457"/>
    </row>
    <row r="3" spans="2:12" ht="10.5">
      <c r="B3" s="122"/>
      <c r="C3" s="123"/>
      <c r="D3" s="124"/>
      <c r="E3" s="124"/>
      <c r="F3" s="124"/>
      <c r="G3" s="124"/>
      <c r="H3" s="124"/>
      <c r="I3" s="124"/>
      <c r="J3" s="124"/>
      <c r="K3" s="124"/>
      <c r="L3" s="125"/>
    </row>
    <row r="4" spans="2:12" ht="10.5">
      <c r="B4" s="53"/>
      <c r="C4" s="560" t="s">
        <v>160</v>
      </c>
      <c r="D4" s="560"/>
      <c r="E4" s="560"/>
      <c r="F4" s="560"/>
      <c r="G4" s="560"/>
      <c r="H4" s="560"/>
      <c r="I4" s="560"/>
      <c r="J4" s="560"/>
      <c r="K4" s="560"/>
      <c r="L4" s="126"/>
    </row>
    <row r="5" spans="2:12" ht="12" customHeight="1">
      <c r="B5" s="53"/>
      <c r="C5" s="33"/>
      <c r="D5" s="33"/>
      <c r="E5" s="33"/>
      <c r="F5" s="33"/>
      <c r="G5" s="33"/>
      <c r="H5" s="33"/>
      <c r="I5" s="33"/>
      <c r="J5" s="33"/>
      <c r="K5" s="33"/>
      <c r="L5" s="126"/>
    </row>
    <row r="6" spans="2:12" ht="12" customHeight="1">
      <c r="B6" s="53"/>
      <c r="C6" s="33" t="s">
        <v>10</v>
      </c>
      <c r="D6" s="561" t="str">
        <f>'Исходные данные'!$M$6</f>
        <v>Короленко Елена Владимировна</v>
      </c>
      <c r="E6" s="561"/>
      <c r="F6" s="561"/>
      <c r="G6" s="561"/>
      <c r="H6" s="561"/>
      <c r="I6" s="561"/>
      <c r="J6" s="33"/>
      <c r="K6" s="33"/>
      <c r="L6" s="126"/>
    </row>
    <row r="7" spans="2:12" ht="12" customHeight="1">
      <c r="B7" s="53"/>
      <c r="C7" s="33" t="s">
        <v>9</v>
      </c>
      <c r="D7" s="133"/>
      <c r="E7" s="135">
        <f>'Исходные данные'!$O$8</f>
        <v>48</v>
      </c>
      <c r="F7" s="133"/>
      <c r="G7" s="134"/>
      <c r="H7" s="134"/>
      <c r="I7" s="134"/>
      <c r="J7" s="33"/>
      <c r="K7" s="33"/>
      <c r="L7" s="126"/>
    </row>
    <row r="8" spans="2:12" ht="12" customHeight="1">
      <c r="B8" s="53"/>
      <c r="C8" s="558" t="s">
        <v>11</v>
      </c>
      <c r="D8" s="558"/>
      <c r="E8" s="558"/>
      <c r="F8" s="561" t="str">
        <f>'Исходные данные'!$Q$10</f>
        <v>Заболевание общее</v>
      </c>
      <c r="G8" s="561"/>
      <c r="H8" s="561"/>
      <c r="I8" s="561"/>
      <c r="J8" s="561"/>
      <c r="K8" s="561"/>
      <c r="L8" s="126"/>
    </row>
    <row r="9" spans="2:12" ht="12" customHeight="1">
      <c r="B9" s="53"/>
      <c r="C9" s="558" t="s">
        <v>63</v>
      </c>
      <c r="D9" s="558"/>
      <c r="E9" s="558"/>
      <c r="F9" s="136" t="s">
        <v>64</v>
      </c>
      <c r="G9" s="135" t="str">
        <f>'Пособие по временной нетрудосп.'!$F$9</f>
        <v>АБ</v>
      </c>
      <c r="H9" s="33" t="s">
        <v>65</v>
      </c>
      <c r="I9" s="135">
        <f>'Пособие по временной нетрудосп.'!$I$9</f>
        <v>2536456</v>
      </c>
      <c r="J9" s="33"/>
      <c r="K9" s="33"/>
      <c r="L9" s="126"/>
    </row>
    <row r="10" spans="2:12" ht="12" customHeight="1">
      <c r="B10" s="53"/>
      <c r="C10" s="559" t="s">
        <v>158</v>
      </c>
      <c r="D10" s="558"/>
      <c r="E10" s="558"/>
      <c r="F10" s="139">
        <f>'Пособие по временной нетрудосп.'!$E$10</f>
        <v>44264</v>
      </c>
      <c r="G10" s="132" t="s">
        <v>84</v>
      </c>
      <c r="H10" s="140">
        <f>'Пособие по временной нетрудосп.'!$H$10</f>
        <v>44270</v>
      </c>
      <c r="I10" s="141"/>
      <c r="J10" s="141"/>
      <c r="K10" s="142"/>
      <c r="L10" s="126"/>
    </row>
    <row r="11" spans="2:12" ht="12" customHeight="1">
      <c r="B11" s="53"/>
      <c r="C11" s="115"/>
      <c r="D11" s="33"/>
      <c r="E11" s="33"/>
      <c r="F11" s="233">
        <f>'Пособие по временной нетрудосп.'!$E$11</f>
        <v>44264</v>
      </c>
      <c r="G11" s="132"/>
      <c r="H11" s="138"/>
      <c r="I11" s="127"/>
      <c r="J11" s="127"/>
      <c r="K11" s="120"/>
      <c r="L11" s="126"/>
    </row>
    <row r="12" spans="2:12" ht="25.5" customHeight="1">
      <c r="B12" s="53"/>
      <c r="C12" s="554" t="str">
        <f>'Пособие по временной нетрудосп.'!$C$15</f>
        <v>Расчет производится исходя из среднедневного заработка</v>
      </c>
      <c r="D12" s="554"/>
      <c r="E12" s="554"/>
      <c r="F12" s="554"/>
      <c r="G12" s="554"/>
      <c r="H12" s="554"/>
      <c r="I12" s="554"/>
      <c r="J12" s="554"/>
      <c r="K12" s="554"/>
      <c r="L12" s="126"/>
    </row>
    <row r="13" spans="2:12" ht="7.5" customHeight="1">
      <c r="B13" s="53"/>
      <c r="C13" s="143"/>
      <c r="D13" s="143"/>
      <c r="E13" s="143"/>
      <c r="F13" s="143"/>
      <c r="G13" s="143"/>
      <c r="H13" s="143"/>
      <c r="I13" s="143"/>
      <c r="J13" s="143"/>
      <c r="K13" s="143"/>
      <c r="L13" s="126"/>
    </row>
    <row r="14" spans="2:12" ht="13.5" customHeight="1">
      <c r="B14" s="53"/>
      <c r="C14" s="543" t="s">
        <v>161</v>
      </c>
      <c r="D14" s="543"/>
      <c r="E14" s="543"/>
      <c r="F14" s="543"/>
      <c r="G14" s="543"/>
      <c r="H14" s="543"/>
      <c r="I14" s="543"/>
      <c r="J14" s="543"/>
      <c r="K14" s="543"/>
      <c r="L14" s="126"/>
    </row>
    <row r="15" spans="2:12" ht="13.5" customHeight="1">
      <c r="B15" s="53"/>
      <c r="C15" s="39"/>
      <c r="D15" s="39"/>
      <c r="E15" s="39"/>
      <c r="F15" s="118"/>
      <c r="G15" s="118"/>
      <c r="H15" s="33"/>
      <c r="I15" s="33"/>
      <c r="J15" s="33"/>
      <c r="K15" s="33"/>
      <c r="L15" s="126"/>
    </row>
    <row r="16" spans="2:12" ht="42">
      <c r="B16" s="53"/>
      <c r="C16" s="515" t="s">
        <v>90</v>
      </c>
      <c r="D16" s="555"/>
      <c r="E16" s="144" t="s">
        <v>162</v>
      </c>
      <c r="F16" s="556" t="s">
        <v>163</v>
      </c>
      <c r="G16" s="557"/>
      <c r="H16" s="144" t="s">
        <v>150</v>
      </c>
      <c r="I16" s="33"/>
      <c r="J16" s="33"/>
      <c r="K16" s="33"/>
      <c r="L16" s="126"/>
    </row>
    <row r="17" spans="2:16" ht="12" customHeight="1">
      <c r="B17" s="53"/>
      <c r="C17" s="146" t="str">
        <f>IF('Пособие по временной нетрудосп.'!$C$21="","",'Пособие по временной нетрудосп.'!$C$21)</f>
        <v>Сентябрь</v>
      </c>
      <c r="D17" s="147">
        <f>IF('Пособие по временной нетрудосп.'!$D$21="","",'Пособие по временной нетрудосп.'!$D$21)</f>
        <v>2020</v>
      </c>
      <c r="E17" s="148">
        <f>'Пособие по временной нетрудосп.'!$K$32</f>
        <v>25</v>
      </c>
      <c r="F17" s="546">
        <f>'Пособие по временной нетрудосп.'!$L$33</f>
        <v>446.3636363636364</v>
      </c>
      <c r="G17" s="547"/>
      <c r="H17" s="548">
        <f>'Пособие по временной нетрудосп.'!$J$100</f>
        <v>24.09</v>
      </c>
      <c r="I17" s="33"/>
      <c r="J17" s="33"/>
      <c r="K17" s="33"/>
      <c r="L17" s="126"/>
      <c r="P17" s="117"/>
    </row>
    <row r="18" spans="2:16" ht="12" customHeight="1">
      <c r="B18" s="53"/>
      <c r="C18" s="149" t="str">
        <f>IF('Пособие по временной нетрудосп.'!$C$34="","",'Пособие по временной нетрудосп.'!$C$34)</f>
        <v>Октябрь</v>
      </c>
      <c r="D18" s="150">
        <f>IF('Пособие по временной нетрудосп.'!$D$34="","",'Пособие по временной нетрудосп.'!$D$34)</f>
        <v>2020</v>
      </c>
      <c r="E18" s="151">
        <f>'Пособие по временной нетрудосп.'!$K$45</f>
        <v>31</v>
      </c>
      <c r="F18" s="550">
        <f>'Пособие по временной нетрудосп.'!$L$46</f>
        <v>560</v>
      </c>
      <c r="G18" s="551"/>
      <c r="H18" s="549"/>
      <c r="I18" s="33"/>
      <c r="J18" s="33"/>
      <c r="K18" s="33"/>
      <c r="L18" s="126"/>
      <c r="P18" s="117"/>
    </row>
    <row r="19" spans="2:16" ht="12" customHeight="1">
      <c r="B19" s="53"/>
      <c r="C19" s="149" t="str">
        <f>IF('Пособие по временной нетрудосп.'!$C$47="","",'Пособие по временной нетрудосп.'!$C$47)</f>
        <v>Ноябрь</v>
      </c>
      <c r="D19" s="150">
        <f>IF('Пособие по временной нетрудосп.'!$D$47="","",'Пособие по временной нетрудосп.'!$D$47)</f>
        <v>2020</v>
      </c>
      <c r="E19" s="151">
        <f>'Пособие по временной нетрудосп.'!$K$58</f>
        <v>30</v>
      </c>
      <c r="F19" s="550">
        <f>'Пособие по временной нетрудосп.'!$L$59</f>
        <v>650</v>
      </c>
      <c r="G19" s="551"/>
      <c r="H19" s="549"/>
      <c r="I19" s="33"/>
      <c r="J19" s="33"/>
      <c r="K19" s="33"/>
      <c r="L19" s="126"/>
      <c r="P19" s="117"/>
    </row>
    <row r="20" spans="2:16" ht="12" customHeight="1">
      <c r="B20" s="53"/>
      <c r="C20" s="149" t="str">
        <f>IF('Пособие по временной нетрудосп.'!$C$60="","",'Пособие по временной нетрудосп.'!$C$60)</f>
        <v>Декабрь</v>
      </c>
      <c r="D20" s="150">
        <f>IF('Пособие по временной нетрудосп.'!$D$60="","",'Пособие по временной нетрудосп.'!$D$60)</f>
        <v>2020</v>
      </c>
      <c r="E20" s="151">
        <f>'Пособие по временной нетрудосп.'!$K$71</f>
        <v>31</v>
      </c>
      <c r="F20" s="550">
        <f>'Пособие по временной нетрудосп.'!$L$72</f>
        <v>650</v>
      </c>
      <c r="G20" s="551"/>
      <c r="H20" s="549"/>
      <c r="I20" s="33"/>
      <c r="J20" s="33"/>
      <c r="K20" s="33"/>
      <c r="L20" s="126"/>
      <c r="P20" s="117"/>
    </row>
    <row r="21" spans="2:16" ht="12" customHeight="1">
      <c r="B21" s="53"/>
      <c r="C21" s="149" t="str">
        <f>IF('Пособие по временной нетрудосп.'!$C$73="","",'Пособие по временной нетрудосп.'!$C$73)</f>
        <v>Январь</v>
      </c>
      <c r="D21" s="150">
        <f>IF('Пособие по временной нетрудосп.'!$D$73="","",'Пособие по временной нетрудосп.'!$D$73)</f>
        <v>2021</v>
      </c>
      <c r="E21" s="151">
        <f>'Пособие по временной нетрудосп.'!$K$84</f>
        <v>31</v>
      </c>
      <c r="F21" s="550">
        <f>'Пособие по временной нетрудосп.'!$L$85</f>
        <v>710</v>
      </c>
      <c r="G21" s="551"/>
      <c r="H21" s="549"/>
      <c r="I21" s="33"/>
      <c r="J21" s="33"/>
      <c r="K21" s="33"/>
      <c r="L21" s="126"/>
      <c r="P21" s="117"/>
    </row>
    <row r="22" spans="2:16" ht="12" customHeight="1">
      <c r="B22" s="53"/>
      <c r="C22" s="152" t="str">
        <f>IF('Пособие по временной нетрудосп.'!$C$86="","",'Пособие по временной нетрудосп.'!$C$86)</f>
        <v>Февраль</v>
      </c>
      <c r="D22" s="153">
        <f>IF('Пособие по временной нетрудосп.'!$D$86="","",'Пособие по временной нетрудосп.'!$D$86)</f>
        <v>2021</v>
      </c>
      <c r="E22" s="154">
        <f>'Пособие по временной нетрудосп.'!$K$97</f>
        <v>4</v>
      </c>
      <c r="F22" s="552">
        <f>'Пособие по временной нетрудосп.'!$L$98</f>
        <v>646</v>
      </c>
      <c r="G22" s="553"/>
      <c r="H22" s="549"/>
      <c r="I22" s="33"/>
      <c r="J22" s="33"/>
      <c r="K22" s="33"/>
      <c r="L22" s="126"/>
      <c r="P22" s="117"/>
    </row>
    <row r="23" spans="2:16" ht="12" customHeight="1">
      <c r="B23" s="53"/>
      <c r="C23" s="541" t="s">
        <v>69</v>
      </c>
      <c r="D23" s="542"/>
      <c r="E23" s="145">
        <f>SUM(E17:E22)</f>
        <v>152</v>
      </c>
      <c r="F23" s="544">
        <f>SUM(F17:G22)</f>
        <v>3662.3636363636365</v>
      </c>
      <c r="G23" s="545"/>
      <c r="H23" s="131"/>
      <c r="I23" s="33"/>
      <c r="J23" s="33"/>
      <c r="K23" s="33"/>
      <c r="L23" s="126"/>
      <c r="P23" s="117"/>
    </row>
    <row r="24" spans="2:16" ht="9.75" customHeight="1">
      <c r="B24" s="53"/>
      <c r="C24" s="33"/>
      <c r="D24" s="33"/>
      <c r="E24" s="33"/>
      <c r="F24" s="33"/>
      <c r="G24" s="33"/>
      <c r="H24" s="33"/>
      <c r="I24" s="33"/>
      <c r="J24" s="33"/>
      <c r="K24" s="33"/>
      <c r="L24" s="126"/>
      <c r="P24" s="117"/>
    </row>
    <row r="25" spans="2:16" ht="9.75" customHeight="1">
      <c r="B25" s="53"/>
      <c r="C25" s="543" t="s">
        <v>164</v>
      </c>
      <c r="D25" s="543"/>
      <c r="E25" s="543"/>
      <c r="F25" s="543"/>
      <c r="G25" s="543"/>
      <c r="H25" s="543"/>
      <c r="I25" s="543"/>
      <c r="J25" s="543"/>
      <c r="K25" s="543"/>
      <c r="L25" s="126"/>
      <c r="P25" s="117"/>
    </row>
    <row r="26" spans="2:16" ht="9.75" customHeight="1">
      <c r="B26" s="53"/>
      <c r="C26" s="39"/>
      <c r="D26" s="39"/>
      <c r="E26" s="39"/>
      <c r="F26" s="155"/>
      <c r="G26" s="155"/>
      <c r="H26" s="33"/>
      <c r="I26" s="33"/>
      <c r="J26" s="33"/>
      <c r="K26" s="33"/>
      <c r="L26" s="126"/>
      <c r="P26" s="117"/>
    </row>
    <row r="27" spans="2:17" ht="10.5">
      <c r="B27" s="53"/>
      <c r="C27" s="533" t="s">
        <v>165</v>
      </c>
      <c r="D27" s="534"/>
      <c r="E27" s="532" t="s">
        <v>166</v>
      </c>
      <c r="F27" s="539" t="s">
        <v>167</v>
      </c>
      <c r="G27" s="540"/>
      <c r="H27" s="487"/>
      <c r="I27" s="483" t="s">
        <v>238</v>
      </c>
      <c r="J27" s="483" t="s">
        <v>169</v>
      </c>
      <c r="K27" s="532" t="s">
        <v>159</v>
      </c>
      <c r="L27" s="126"/>
      <c r="Q27" s="117"/>
    </row>
    <row r="28" spans="2:17" ht="15.75" customHeight="1">
      <c r="B28" s="53"/>
      <c r="C28" s="535"/>
      <c r="D28" s="536"/>
      <c r="E28" s="488"/>
      <c r="F28" s="486" t="s">
        <v>168</v>
      </c>
      <c r="G28" s="486"/>
      <c r="H28" s="483" t="s">
        <v>76</v>
      </c>
      <c r="I28" s="488"/>
      <c r="J28" s="530"/>
      <c r="K28" s="530"/>
      <c r="L28" s="126"/>
      <c r="Q28" s="117"/>
    </row>
    <row r="29" spans="2:12" ht="26.25" customHeight="1">
      <c r="B29" s="53"/>
      <c r="C29" s="537"/>
      <c r="D29" s="538"/>
      <c r="E29" s="484"/>
      <c r="F29" s="156">
        <f>'Пособие по временной нетрудосп.'!F108</f>
        <v>80</v>
      </c>
      <c r="G29" s="384">
        <f>'Пособие по временной нетрудосп.'!F109</f>
        <v>100</v>
      </c>
      <c r="H29" s="484"/>
      <c r="I29" s="484"/>
      <c r="J29" s="531"/>
      <c r="K29" s="531"/>
      <c r="L29" s="126"/>
    </row>
    <row r="30" spans="2:12" ht="13.5" customHeight="1">
      <c r="B30" s="53"/>
      <c r="C30" s="157" t="str">
        <f>IF('Пособие по временной нетрудосп.'!$C$107="","",'Пособие по временной нетрудосп.'!$C$107)</f>
        <v>Март</v>
      </c>
      <c r="D30" s="158">
        <f>IF('Пособие по временной нетрудосп.'!$D$107="","",'Пособие по временной нетрудосп.'!$D$107)</f>
        <v>2021</v>
      </c>
      <c r="E30" s="163">
        <f>'Пособие по временной нетрудосп.'!$E$110</f>
        <v>7</v>
      </c>
      <c r="F30" s="301">
        <f>'Пособие по временной нетрудосп.'!$I$108</f>
        <v>134.9</v>
      </c>
      <c r="G30" s="301">
        <f>'Пособие по временной нетрудосп.'!$I$109</f>
        <v>0</v>
      </c>
      <c r="H30" s="302">
        <f>SUM(F30:G30)</f>
        <v>134.9</v>
      </c>
      <c r="I30" s="302">
        <f>'Пособие по временной нетрудосп.'!J110</f>
        <v>0</v>
      </c>
      <c r="J30" s="302">
        <f>'Пособие по временной нетрудосп.'!$K$110</f>
        <v>873.87</v>
      </c>
      <c r="K30" s="303">
        <f>IF('Пособие по временной нетрудосп.'!$L$118='Пособие по временной нетрудосп.'!$J$118,'Пособие по временной нетрудосп.'!J110,IF('Пособие по временной нетрудосп.'!$L$118='Пособие по временной нетрудосп.'!$K$118,'Пособие по временной нетрудосп.'!K110,'Пособие по временной нетрудосп.'!I110))</f>
        <v>134.9</v>
      </c>
      <c r="L30" s="126"/>
    </row>
    <row r="31" spans="2:12" ht="13.5" customHeight="1">
      <c r="B31" s="53"/>
      <c r="C31" s="159" t="str">
        <f>IF('Пособие по временной нетрудосп.'!$C$111="","",'Пособие по временной нетрудосп.'!$C$111)</f>
        <v>Апрель</v>
      </c>
      <c r="D31" s="160">
        <f>IF('Пособие по временной нетрудосп.'!$D$111="","",'Пособие по временной нетрудосп.'!$D$111)</f>
        <v>2021</v>
      </c>
      <c r="E31" s="164">
        <f>'Пособие по временной нетрудосп.'!$E$114</f>
        <v>0</v>
      </c>
      <c r="F31" s="304">
        <f>'Пособие по временной нетрудосп.'!$I$112</f>
        <v>0</v>
      </c>
      <c r="G31" s="304">
        <f>'Пособие по временной нетрудосп.'!$I$113</f>
        <v>0</v>
      </c>
      <c r="H31" s="305">
        <f>SUM(F31:G31)</f>
        <v>0</v>
      </c>
      <c r="I31" s="305">
        <f>'Пособие по временной нетрудосп.'!J114</f>
        <v>0</v>
      </c>
      <c r="J31" s="305">
        <f>'Пособие по временной нетрудосп.'!$K$114</f>
        <v>0</v>
      </c>
      <c r="K31" s="306">
        <f>IF('Пособие по временной нетрудосп.'!$L$118='Пособие по временной нетрудосп.'!$J$118,'Пособие по временной нетрудосп.'!J114,IF('Пособие по временной нетрудосп.'!$L$118='Пособие по временной нетрудосп.'!$K$118,'Пособие по временной нетрудосп.'!K114,'Пособие по временной нетрудосп.'!I114))</f>
        <v>0</v>
      </c>
      <c r="L31" s="126"/>
    </row>
    <row r="32" spans="2:12" ht="13.5" customHeight="1">
      <c r="B32" s="53"/>
      <c r="C32" s="161" t="str">
        <f>IF('Пособие по временной нетрудосп.'!$C$115="","",'Пособие по временной нетрудосп.'!$C$115)</f>
        <v>Май</v>
      </c>
      <c r="D32" s="162">
        <f>IF('Пособие по временной нетрудосп.'!$D$115="","",'Пособие по временной нетрудосп.'!$D$115)</f>
        <v>2021</v>
      </c>
      <c r="E32" s="165">
        <f>'Пособие по временной нетрудосп.'!$E$117</f>
        <v>0</v>
      </c>
      <c r="F32" s="307">
        <f>'Пособие по временной нетрудосп.'!$I$117</f>
        <v>0</v>
      </c>
      <c r="G32" s="307">
        <f>'Пособие по временной нетрудосп.'!$I$116</f>
        <v>0</v>
      </c>
      <c r="H32" s="308">
        <f>SUM(F32:G32)</f>
        <v>0</v>
      </c>
      <c r="I32" s="308">
        <f>'Пособие по временной нетрудосп.'!J117</f>
        <v>0</v>
      </c>
      <c r="J32" s="308">
        <f>'Пособие по временной нетрудосп.'!$K$117</f>
        <v>0</v>
      </c>
      <c r="K32" s="309">
        <f>IF('Пособие по временной нетрудосп.'!$L$118='Пособие по временной нетрудосп.'!$J$118,'Пособие по временной нетрудосп.'!J117,IF('Пособие по временной нетрудосп.'!$L$118='Пособие по временной нетрудосп.'!$K$118,'Пособие по временной нетрудосп.'!K117,'Пособие по временной нетрудосп.'!I117))</f>
        <v>0</v>
      </c>
      <c r="L32" s="126"/>
    </row>
    <row r="33" spans="2:12" ht="13.5" customHeight="1">
      <c r="B33" s="53"/>
      <c r="C33" s="33"/>
      <c r="D33" s="33"/>
      <c r="E33" s="166">
        <f>SUM(E30:E32)</f>
        <v>7</v>
      </c>
      <c r="F33" s="310"/>
      <c r="G33" s="310"/>
      <c r="H33" s="311">
        <f>SUM(H30:H32)</f>
        <v>134.9</v>
      </c>
      <c r="I33" s="311">
        <f>SUM(I30:I32)</f>
        <v>0</v>
      </c>
      <c r="J33" s="311">
        <f>SUM(J30:J32)</f>
        <v>873.87</v>
      </c>
      <c r="K33" s="311">
        <f>SUM(K30:K32)</f>
        <v>134.9</v>
      </c>
      <c r="L33" s="126"/>
    </row>
    <row r="34" spans="2:12" ht="12" customHeight="1">
      <c r="B34" s="53"/>
      <c r="C34" s="33"/>
      <c r="D34" s="33"/>
      <c r="E34" s="168"/>
      <c r="F34" s="167"/>
      <c r="G34" s="167"/>
      <c r="H34" s="169"/>
      <c r="I34" s="169"/>
      <c r="J34" s="169"/>
      <c r="K34" s="169"/>
      <c r="L34" s="126"/>
    </row>
    <row r="35" spans="2:12" ht="12" customHeight="1">
      <c r="B35" s="53"/>
      <c r="C35" s="39" t="s">
        <v>170</v>
      </c>
      <c r="D35" s="39"/>
      <c r="E35" s="119"/>
      <c r="F35" s="33"/>
      <c r="G35" s="33"/>
      <c r="H35" s="33"/>
      <c r="I35" s="33"/>
      <c r="J35" s="121"/>
      <c r="K35" s="33"/>
      <c r="L35" s="126"/>
    </row>
    <row r="36" spans="2:12" ht="12" customHeight="1">
      <c r="B36" s="53"/>
      <c r="C36" s="529" t="str">
        <f>'Пособие по временной нетрудосп.'!C120</f>
        <v>Сто тридцать четыре белорусских рубля 90 копеек.</v>
      </c>
      <c r="D36" s="529"/>
      <c r="E36" s="529"/>
      <c r="F36" s="529"/>
      <c r="G36" s="529"/>
      <c r="H36" s="529"/>
      <c r="I36" s="529"/>
      <c r="J36" s="529"/>
      <c r="K36" s="529"/>
      <c r="L36" s="126"/>
    </row>
    <row r="37" spans="2:12" ht="12" customHeight="1">
      <c r="B37" s="53"/>
      <c r="C37" s="170"/>
      <c r="D37" s="170"/>
      <c r="E37" s="170"/>
      <c r="F37" s="170"/>
      <c r="G37" s="170"/>
      <c r="H37" s="170"/>
      <c r="I37" s="170"/>
      <c r="J37" s="33"/>
      <c r="K37" s="33"/>
      <c r="L37" s="126"/>
    </row>
    <row r="38" spans="2:12" ht="12" customHeight="1">
      <c r="B38" s="53"/>
      <c r="C38" s="64" t="s">
        <v>81</v>
      </c>
      <c r="D38" s="64"/>
      <c r="E38" s="64"/>
      <c r="F38" s="64"/>
      <c r="G38" s="171">
        <f>'Пособие по временной нетрудосп.'!G122</f>
        <v>0</v>
      </c>
      <c r="H38" s="33" t="s">
        <v>57</v>
      </c>
      <c r="I38" s="33"/>
      <c r="J38" s="33"/>
      <c r="K38" s="33"/>
      <c r="L38" s="126"/>
    </row>
    <row r="39" spans="2:12" ht="12" customHeight="1">
      <c r="B39" s="53"/>
      <c r="C39" s="33"/>
      <c r="D39" s="33"/>
      <c r="E39" s="33"/>
      <c r="F39" s="33"/>
      <c r="G39" s="114" t="s">
        <v>82</v>
      </c>
      <c r="H39" s="33"/>
      <c r="I39" s="33"/>
      <c r="J39" s="33"/>
      <c r="K39" s="33"/>
      <c r="L39" s="126"/>
    </row>
    <row r="40" spans="2:12" ht="12" customHeight="1">
      <c r="B40" s="53"/>
      <c r="C40" s="33"/>
      <c r="D40" s="33"/>
      <c r="E40" s="33"/>
      <c r="F40" s="33"/>
      <c r="G40" s="33"/>
      <c r="H40" s="33"/>
      <c r="I40" s="33"/>
      <c r="J40" s="33"/>
      <c r="K40" s="33"/>
      <c r="L40" s="126"/>
    </row>
    <row r="41" spans="2:12" ht="12" customHeight="1">
      <c r="B41" s="53"/>
      <c r="C41" s="528" t="str">
        <f>'Пособие по временной нетрудосп.'!C125</f>
        <v>Главный бухгалтер</v>
      </c>
      <c r="D41" s="528"/>
      <c r="E41" s="528"/>
      <c r="F41" s="175"/>
      <c r="G41" s="527">
        <f>'Пособие по временной нетрудосп.'!H125</f>
        <v>0</v>
      </c>
      <c r="H41" s="527"/>
      <c r="I41" s="175"/>
      <c r="J41" s="528" t="str">
        <f>'Пособие по временной нетрудосп.'!K125</f>
        <v>Г.С.Степанова</v>
      </c>
      <c r="K41" s="528"/>
      <c r="L41" s="126"/>
    </row>
    <row r="42" spans="2:12" ht="12" customHeight="1">
      <c r="B42" s="53"/>
      <c r="C42" s="503" t="s">
        <v>237</v>
      </c>
      <c r="D42" s="503"/>
      <c r="E42" s="503"/>
      <c r="F42" s="32"/>
      <c r="G42" s="503" t="s">
        <v>156</v>
      </c>
      <c r="H42" s="503"/>
      <c r="I42" s="32"/>
      <c r="J42" s="503" t="s">
        <v>157</v>
      </c>
      <c r="K42" s="503"/>
      <c r="L42" s="126"/>
    </row>
    <row r="43" spans="2:12" ht="12" customHeight="1">
      <c r="B43" s="53"/>
      <c r="C43" s="33"/>
      <c r="D43" s="33"/>
      <c r="E43" s="33"/>
      <c r="F43" s="33"/>
      <c r="G43" s="33"/>
      <c r="H43" s="33"/>
      <c r="I43" s="33"/>
      <c r="J43" s="33"/>
      <c r="K43" s="33"/>
      <c r="L43" s="126"/>
    </row>
    <row r="44" spans="2:12" ht="12" customHeight="1">
      <c r="B44" s="53"/>
      <c r="C44" s="137">
        <f ca="1">TODAY()</f>
        <v>44272</v>
      </c>
      <c r="D44" s="33"/>
      <c r="E44" s="33"/>
      <c r="F44" s="33"/>
      <c r="G44" s="33"/>
      <c r="H44" s="33"/>
      <c r="I44" s="33"/>
      <c r="J44" s="33"/>
      <c r="K44" s="33"/>
      <c r="L44" s="126"/>
    </row>
    <row r="45" spans="2:12" ht="11.25" thickBot="1">
      <c r="B45" s="128"/>
      <c r="C45" s="129"/>
      <c r="D45" s="129"/>
      <c r="E45" s="129"/>
      <c r="F45" s="129"/>
      <c r="G45" s="129"/>
      <c r="H45" s="129"/>
      <c r="I45" s="129"/>
      <c r="J45" s="129"/>
      <c r="K45" s="129"/>
      <c r="L45" s="130"/>
    </row>
  </sheetData>
  <sheetProtection/>
  <mergeCells count="36">
    <mergeCell ref="C4:K4"/>
    <mergeCell ref="D6:I6"/>
    <mergeCell ref="F8:K8"/>
    <mergeCell ref="C12:K12"/>
    <mergeCell ref="C16:D16"/>
    <mergeCell ref="F16:G16"/>
    <mergeCell ref="C14:K14"/>
    <mergeCell ref="C8:E8"/>
    <mergeCell ref="C9:E9"/>
    <mergeCell ref="C10:E10"/>
    <mergeCell ref="F17:G17"/>
    <mergeCell ref="H17:H22"/>
    <mergeCell ref="F18:G18"/>
    <mergeCell ref="F19:G19"/>
    <mergeCell ref="F20:G20"/>
    <mergeCell ref="F21:G21"/>
    <mergeCell ref="F22:G22"/>
    <mergeCell ref="C27:D29"/>
    <mergeCell ref="E27:E29"/>
    <mergeCell ref="F27:H27"/>
    <mergeCell ref="C23:D23"/>
    <mergeCell ref="C25:K25"/>
    <mergeCell ref="F28:G28"/>
    <mergeCell ref="H28:H29"/>
    <mergeCell ref="I27:I29"/>
    <mergeCell ref="F23:G23"/>
    <mergeCell ref="B1:L2"/>
    <mergeCell ref="G41:H41"/>
    <mergeCell ref="J41:K41"/>
    <mergeCell ref="C42:E42"/>
    <mergeCell ref="G42:H42"/>
    <mergeCell ref="J42:K42"/>
    <mergeCell ref="C41:E41"/>
    <mergeCell ref="C36:K36"/>
    <mergeCell ref="J27:J29"/>
    <mergeCell ref="K27:K29"/>
  </mergeCells>
  <conditionalFormatting sqref="I10:J11">
    <cfRule type="cellIs" priority="1" dxfId="5" operator="notEqual" stopIfTrue="1">
      <formula>"Начало нетрудоспособности"</formula>
    </cfRule>
  </conditionalFormatting>
  <conditionalFormatting sqref="K10:K11">
    <cfRule type="cellIs" priority="2" dxfId="6" operator="equal" stopIfTrue="1">
      <formula>0</formula>
    </cfRule>
  </conditionalFormatting>
  <printOptions/>
  <pageMargins left="0.7874015748031497" right="0.3937007874015748" top="0.3937007874015748" bottom="0.3937007874015748" header="0.1968503937007874" footer="0.1968503937007874"/>
  <pageSetup horizontalDpi="600" verticalDpi="600" orientation="landscape" paperSize="9" r:id="rId1"/>
  <headerFooter alignWithMargins="0">
    <oddFooter>&amp;L&amp;"Tahoma,обычный"&amp;6© ИПС ЭКСПЕРТ&amp;C&amp;"Tahoma,обычный"&amp;6(017) 354 78 92, 354 78 76&amp;R&amp;"Tahoma,обычный"&amp;6www.expert.by</oddFooter>
  </headerFooter>
</worksheet>
</file>

<file path=xl/worksheets/sheet6.xml><?xml version="1.0" encoding="utf-8"?>
<worksheet xmlns="http://schemas.openxmlformats.org/spreadsheetml/2006/main" xmlns:r="http://schemas.openxmlformats.org/officeDocument/2006/relationships">
  <dimension ref="A1:E25"/>
  <sheetViews>
    <sheetView zoomScalePageLayoutView="0" workbookViewId="0" topLeftCell="A1">
      <selection activeCell="A1" sqref="A1"/>
    </sheetView>
  </sheetViews>
  <sheetFormatPr defaultColWidth="9.00390625" defaultRowHeight="12.75"/>
  <cols>
    <col min="1" max="1" width="9.125" style="240" customWidth="1"/>
    <col min="2" max="2" width="85.75390625" style="240" customWidth="1"/>
    <col min="3" max="3" width="16.75390625" style="240" customWidth="1"/>
    <col min="4" max="4" width="12.375" style="240" customWidth="1"/>
    <col min="5" max="5" width="4.25390625" style="240" customWidth="1"/>
    <col min="6" max="16384" width="9.125" style="240" customWidth="1"/>
  </cols>
  <sheetData>
    <row r="1" spans="1:5" ht="15">
      <c r="A1" s="238"/>
      <c r="B1" s="239"/>
      <c r="C1" s="239"/>
      <c r="D1" s="239"/>
      <c r="E1" s="239"/>
    </row>
    <row r="2" spans="1:5" ht="15.75">
      <c r="A2" s="241">
        <v>2011</v>
      </c>
      <c r="B2" s="242" t="s">
        <v>12</v>
      </c>
      <c r="C2" s="239" t="s">
        <v>28</v>
      </c>
      <c r="D2" s="239"/>
      <c r="E2" s="239">
        <v>1</v>
      </c>
    </row>
    <row r="3" spans="1:5" ht="15.75">
      <c r="A3" s="241">
        <v>2012</v>
      </c>
      <c r="B3" s="242" t="s">
        <v>29</v>
      </c>
      <c r="C3" s="238" t="s">
        <v>30</v>
      </c>
      <c r="D3" s="238">
        <v>0.5</v>
      </c>
      <c r="E3" s="239">
        <v>2</v>
      </c>
    </row>
    <row r="4" spans="1:5" ht="15.75">
      <c r="A4" s="241">
        <v>2013</v>
      </c>
      <c r="B4" s="242" t="s">
        <v>31</v>
      </c>
      <c r="C4" s="238" t="s">
        <v>30</v>
      </c>
      <c r="D4" s="238">
        <v>0.5</v>
      </c>
      <c r="E4" s="239">
        <v>3</v>
      </c>
    </row>
    <row r="5" spans="1:5" ht="15.75">
      <c r="A5" s="241">
        <v>2014</v>
      </c>
      <c r="B5" s="242" t="s">
        <v>32</v>
      </c>
      <c r="C5" s="239" t="s">
        <v>28</v>
      </c>
      <c r="D5" s="238">
        <v>0</v>
      </c>
      <c r="E5" s="239">
        <v>4</v>
      </c>
    </row>
    <row r="6" spans="1:5" ht="15.75">
      <c r="A6" s="241">
        <v>2015</v>
      </c>
      <c r="B6" s="242" t="s">
        <v>33</v>
      </c>
      <c r="C6" s="238" t="s">
        <v>30</v>
      </c>
      <c r="D6" s="238">
        <v>0.5</v>
      </c>
      <c r="E6" s="239">
        <v>5</v>
      </c>
    </row>
    <row r="7" spans="1:5" ht="15.75">
      <c r="A7" s="241">
        <v>2016</v>
      </c>
      <c r="B7" s="241" t="s">
        <v>34</v>
      </c>
      <c r="C7" s="239" t="s">
        <v>22</v>
      </c>
      <c r="D7" s="238">
        <v>1</v>
      </c>
      <c r="E7" s="239">
        <v>6</v>
      </c>
    </row>
    <row r="8" spans="1:5" ht="15.75">
      <c r="A8" s="241"/>
      <c r="B8" s="241" t="s">
        <v>35</v>
      </c>
      <c r="C8" s="239" t="s">
        <v>28</v>
      </c>
      <c r="D8" s="238">
        <v>0</v>
      </c>
      <c r="E8" s="239">
        <v>7</v>
      </c>
    </row>
    <row r="9" spans="1:5" ht="15.75">
      <c r="A9" s="241">
        <v>2017</v>
      </c>
      <c r="B9" s="242" t="s">
        <v>36</v>
      </c>
      <c r="C9" s="239" t="s">
        <v>22</v>
      </c>
      <c r="D9" s="238">
        <v>1</v>
      </c>
      <c r="E9" s="239">
        <v>8</v>
      </c>
    </row>
    <row r="10" spans="1:5" ht="15.75">
      <c r="A10" s="241">
        <v>2018</v>
      </c>
      <c r="B10" s="241" t="s">
        <v>37</v>
      </c>
      <c r="C10" s="239" t="s">
        <v>22</v>
      </c>
      <c r="D10" s="238">
        <v>1</v>
      </c>
      <c r="E10" s="239">
        <v>9</v>
      </c>
    </row>
    <row r="11" spans="1:5" ht="15.75">
      <c r="A11" s="241">
        <v>2019</v>
      </c>
      <c r="B11" s="241" t="s">
        <v>38</v>
      </c>
      <c r="C11" s="239" t="s">
        <v>22</v>
      </c>
      <c r="D11" s="238">
        <v>1</v>
      </c>
      <c r="E11" s="239">
        <v>10</v>
      </c>
    </row>
    <row r="12" spans="1:5" ht="15.75">
      <c r="A12" s="241">
        <v>2020</v>
      </c>
      <c r="B12" s="241" t="s">
        <v>39</v>
      </c>
      <c r="C12" s="239" t="s">
        <v>28</v>
      </c>
      <c r="D12" s="238">
        <v>0</v>
      </c>
      <c r="E12" s="239">
        <v>11</v>
      </c>
    </row>
    <row r="13" spans="1:5" ht="15.75">
      <c r="A13" s="241"/>
      <c r="B13" s="243" t="s">
        <v>40</v>
      </c>
      <c r="C13" s="239"/>
      <c r="D13" s="238">
        <v>0</v>
      </c>
      <c r="E13" s="239">
        <v>12</v>
      </c>
    </row>
    <row r="14" spans="1:5" ht="15.75">
      <c r="A14" s="241"/>
      <c r="B14" s="241"/>
      <c r="C14" s="239"/>
      <c r="D14" s="238">
        <v>0</v>
      </c>
      <c r="E14" s="239"/>
    </row>
    <row r="15" spans="1:5" ht="15">
      <c r="A15" s="244"/>
      <c r="B15" s="244"/>
      <c r="C15" s="244"/>
      <c r="D15" s="244"/>
      <c r="E15" s="244"/>
    </row>
    <row r="16" spans="1:5" ht="15">
      <c r="A16" s="244"/>
      <c r="B16" s="244"/>
      <c r="C16" s="244"/>
      <c r="D16" s="244"/>
      <c r="E16" s="244"/>
    </row>
    <row r="17" spans="1:5" ht="15">
      <c r="A17" s="244"/>
      <c r="B17" s="244"/>
      <c r="C17" s="244"/>
      <c r="D17" s="244"/>
      <c r="E17" s="244"/>
    </row>
    <row r="18" spans="1:5" ht="15">
      <c r="A18" s="244"/>
      <c r="B18" s="244"/>
      <c r="C18" s="244"/>
      <c r="D18" s="244"/>
      <c r="E18" s="244"/>
    </row>
    <row r="19" spans="1:5" ht="15">
      <c r="A19" s="244"/>
      <c r="B19" s="239" t="s">
        <v>14</v>
      </c>
      <c r="C19" s="239">
        <v>1</v>
      </c>
      <c r="D19" s="245">
        <f>'Исходные данные'!$I$20</f>
        <v>24.09</v>
      </c>
      <c r="E19" s="244"/>
    </row>
    <row r="20" spans="1:5" ht="15">
      <c r="A20" s="244"/>
      <c r="B20" s="239" t="s">
        <v>41</v>
      </c>
      <c r="C20" s="239">
        <v>2</v>
      </c>
      <c r="D20" s="246">
        <f>'Пособие по временной нетрудосп.'!$J$100</f>
        <v>24.09</v>
      </c>
      <c r="E20" s="244"/>
    </row>
    <row r="21" spans="1:5" ht="15">
      <c r="A21" s="244"/>
      <c r="B21" s="239" t="s">
        <v>42</v>
      </c>
      <c r="C21" s="239">
        <v>3</v>
      </c>
      <c r="D21" s="245">
        <f>'Исходные данные'!$I$20</f>
        <v>24.09</v>
      </c>
      <c r="E21" s="244"/>
    </row>
    <row r="22" spans="1:5" ht="15">
      <c r="A22" s="244"/>
      <c r="B22" s="239" t="s">
        <v>43</v>
      </c>
      <c r="C22" s="239">
        <v>4</v>
      </c>
      <c r="D22" s="247"/>
      <c r="E22" s="244"/>
    </row>
    <row r="23" spans="1:5" ht="15">
      <c r="A23" s="244"/>
      <c r="B23" s="244"/>
      <c r="C23" s="244"/>
      <c r="D23" s="244"/>
      <c r="E23" s="244"/>
    </row>
    <row r="24" spans="1:5" ht="15">
      <c r="A24" s="244"/>
      <c r="B24" s="239" t="s">
        <v>16</v>
      </c>
      <c r="C24" s="239"/>
      <c r="D24" s="239"/>
      <c r="E24" s="244"/>
    </row>
    <row r="25" spans="1:5" ht="15">
      <c r="A25" s="244"/>
      <c r="B25" s="239" t="s">
        <v>18</v>
      </c>
      <c r="C25" s="239"/>
      <c r="D25" s="239"/>
      <c r="E25" s="244"/>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7.xml><?xml version="1.0" encoding="utf-8"?>
<worksheet xmlns="http://schemas.openxmlformats.org/spreadsheetml/2006/main" xmlns:r="http://schemas.openxmlformats.org/officeDocument/2006/relationships">
  <dimension ref="A1:O67"/>
  <sheetViews>
    <sheetView zoomScalePageLayoutView="0" workbookViewId="0" topLeftCell="A1">
      <selection activeCell="A1" sqref="A1:IV16384"/>
    </sheetView>
  </sheetViews>
  <sheetFormatPr defaultColWidth="9.00390625" defaultRowHeight="12.75"/>
  <cols>
    <col min="1" max="1" width="9.125" style="385" customWidth="1"/>
    <col min="2" max="2" width="6.25390625" style="385" customWidth="1"/>
    <col min="3" max="3" width="9.125" style="385" customWidth="1"/>
    <col min="4" max="4" width="6.625" style="385" customWidth="1"/>
    <col min="5" max="5" width="9.125" style="385" customWidth="1"/>
    <col min="6" max="6" width="13.625" style="385" customWidth="1"/>
    <col min="7" max="7" width="13.125" style="385" customWidth="1"/>
    <col min="8" max="8" width="10.75390625" style="385" customWidth="1"/>
    <col min="9" max="9" width="17.125" style="385" customWidth="1"/>
    <col min="10" max="10" width="15.75390625" style="385" customWidth="1"/>
    <col min="11" max="11" width="10.125" style="385" bestFit="1" customWidth="1"/>
    <col min="12" max="12" width="11.625" style="385" customWidth="1"/>
    <col min="13" max="13" width="10.125" style="385" bestFit="1" customWidth="1"/>
    <col min="14" max="14" width="11.75390625" style="385" customWidth="1"/>
    <col min="15" max="15" width="10.125" style="385" bestFit="1" customWidth="1"/>
    <col min="16" max="16384" width="9.125" style="385" customWidth="1"/>
  </cols>
  <sheetData>
    <row r="1" ht="15">
      <c r="D1" s="386">
        <f>YEAR('Пособие по временной нетрудосп.'!$E$10)</f>
        <v>2021</v>
      </c>
    </row>
    <row r="3" spans="1:10" ht="15">
      <c r="A3" s="387" t="s">
        <v>45</v>
      </c>
      <c r="B3" s="387">
        <v>1</v>
      </c>
      <c r="C3" s="387" t="s">
        <v>45</v>
      </c>
      <c r="D3" s="387">
        <v>31</v>
      </c>
      <c r="E3" s="388" t="s">
        <v>46</v>
      </c>
      <c r="F3" s="388" t="str">
        <f>информация!A65</f>
        <v>Декабрь2016</v>
      </c>
      <c r="G3" s="388">
        <f>информация!D65</f>
        <v>801.6</v>
      </c>
      <c r="H3" s="389">
        <v>2013</v>
      </c>
      <c r="I3" s="390">
        <f>IF('Исходные данные'!$U$22="нет",'Исходные данные'!$T$24,'Исходные данные'!$T$26)</f>
        <v>44264</v>
      </c>
      <c r="J3" s="390">
        <f>IF('Исходные данные'!$U$22="нет",'Исходные данные'!$V$24,'Исходные данные'!$V$26)</f>
        <v>44270</v>
      </c>
    </row>
    <row r="4" spans="1:15" ht="15">
      <c r="A4" s="387" t="s">
        <v>47</v>
      </c>
      <c r="B4" s="387">
        <v>2</v>
      </c>
      <c r="C4" s="387" t="s">
        <v>47</v>
      </c>
      <c r="D4" s="387">
        <f>IF(OR(D1=2012,D1=2016,D1=2020),29,28)</f>
        <v>28</v>
      </c>
      <c r="E4" s="388" t="s">
        <v>45</v>
      </c>
      <c r="F4" s="388" t="str">
        <f>информация!A64</f>
        <v>Январь2017</v>
      </c>
      <c r="G4" s="391">
        <f>информация!D64</f>
        <v>720.7</v>
      </c>
      <c r="H4" s="389">
        <v>2014</v>
      </c>
      <c r="I4" s="390">
        <f>I3</f>
        <v>44264</v>
      </c>
      <c r="J4" s="390">
        <f>DATE(YEAR(I3),MONTH(I3),I5)</f>
        <v>44286</v>
      </c>
      <c r="K4" s="390">
        <f>J4+1</f>
        <v>44287</v>
      </c>
      <c r="L4" s="390">
        <f>DATE(YEAR(K4),MONTH(K4),K5)</f>
        <v>44316</v>
      </c>
      <c r="M4" s="390">
        <f>L4+1</f>
        <v>44317</v>
      </c>
      <c r="N4" s="390">
        <f>DATE(YEAR(M4),MONTH(M4),M5)</f>
        <v>44347</v>
      </c>
      <c r="O4" s="390">
        <f>N4+1</f>
        <v>44348</v>
      </c>
    </row>
    <row r="5" spans="1:15" ht="15">
      <c r="A5" s="387" t="s">
        <v>48</v>
      </c>
      <c r="B5" s="387">
        <v>3</v>
      </c>
      <c r="C5" s="387" t="s">
        <v>48</v>
      </c>
      <c r="D5" s="387">
        <v>31</v>
      </c>
      <c r="E5" s="388" t="s">
        <v>47</v>
      </c>
      <c r="F5" s="388" t="str">
        <f>информация!A63</f>
        <v>Февраль2017</v>
      </c>
      <c r="G5" s="391">
        <f>информация!D63</f>
        <v>716.5</v>
      </c>
      <c r="H5" s="389">
        <v>2016</v>
      </c>
      <c r="I5" s="389">
        <f>36-DAY(DAY((I4)+36-DAY(I4)))</f>
        <v>31</v>
      </c>
      <c r="K5" s="389">
        <f>36-DAY(DAY((K4)+36-DAY(K4)))</f>
        <v>30</v>
      </c>
      <c r="M5" s="389">
        <f>36-DAY(DAY((M4)+36-DAY(M4)))</f>
        <v>31</v>
      </c>
      <c r="O5" s="389">
        <f>36-DAY(DAY((O4)+36-DAY(O4)))</f>
        <v>30</v>
      </c>
    </row>
    <row r="6" spans="1:15" ht="15">
      <c r="A6" s="387" t="s">
        <v>49</v>
      </c>
      <c r="B6" s="387">
        <v>4</v>
      </c>
      <c r="C6" s="387" t="s">
        <v>49</v>
      </c>
      <c r="D6" s="387">
        <v>30</v>
      </c>
      <c r="E6" s="388" t="s">
        <v>48</v>
      </c>
      <c r="F6" s="388" t="str">
        <f>информация!A62</f>
        <v>Март2017</v>
      </c>
      <c r="G6" s="391">
        <f>информация!D62</f>
        <v>770.6</v>
      </c>
      <c r="H6" s="389">
        <v>2017</v>
      </c>
      <c r="I6" s="390">
        <f>I3</f>
        <v>44264</v>
      </c>
      <c r="J6" s="390">
        <f>IF($J$3&gt;J4,J4,$J$3)</f>
        <v>44270</v>
      </c>
      <c r="K6" s="390"/>
      <c r="L6" s="390">
        <f>IF($J$3&gt;L4,L4,$J$3)</f>
        <v>44270</v>
      </c>
      <c r="M6" s="390"/>
      <c r="N6" s="390">
        <f>IF($J$3&gt;N4,N4,$J$3)</f>
        <v>44270</v>
      </c>
      <c r="O6" s="390"/>
    </row>
    <row r="7" spans="1:15" ht="15">
      <c r="A7" s="387" t="s">
        <v>50</v>
      </c>
      <c r="B7" s="387">
        <v>5</v>
      </c>
      <c r="C7" s="387" t="s">
        <v>50</v>
      </c>
      <c r="D7" s="387">
        <v>31</v>
      </c>
      <c r="E7" s="388" t="s">
        <v>49</v>
      </c>
      <c r="F7" s="388" t="str">
        <f>информация!A61</f>
        <v>Апрель2017</v>
      </c>
      <c r="G7" s="391">
        <f>информация!D61</f>
        <v>776.7</v>
      </c>
      <c r="H7" s="389">
        <v>2018</v>
      </c>
      <c r="J7" s="389">
        <f>J6-I6+1</f>
        <v>7</v>
      </c>
      <c r="K7" s="389"/>
      <c r="L7" s="389">
        <f>L6-J6</f>
        <v>0</v>
      </c>
      <c r="M7" s="389"/>
      <c r="N7" s="389">
        <f>N6-L6</f>
        <v>0</v>
      </c>
      <c r="O7" s="389"/>
    </row>
    <row r="8" spans="1:15" ht="15">
      <c r="A8" s="387" t="s">
        <v>51</v>
      </c>
      <c r="B8" s="387">
        <v>6</v>
      </c>
      <c r="C8" s="387" t="s">
        <v>51</v>
      </c>
      <c r="D8" s="387">
        <v>30</v>
      </c>
      <c r="E8" s="388" t="s">
        <v>50</v>
      </c>
      <c r="F8" s="388" t="str">
        <f>информация!A60</f>
        <v>Май2017</v>
      </c>
      <c r="G8" s="391">
        <f>информация!D60</f>
        <v>795.2</v>
      </c>
      <c r="H8" s="389">
        <v>2019</v>
      </c>
      <c r="I8" s="390">
        <f>IF('Исходные данные'!$U$22="да",'Исходные данные'!$T$28,0)</f>
        <v>0</v>
      </c>
      <c r="J8" s="390">
        <f>IF('Исходные данные'!$U$22="да",'Исходные данные'!$V$28,0)</f>
        <v>0</v>
      </c>
      <c r="K8" s="390"/>
      <c r="L8" s="390"/>
      <c r="M8" s="390"/>
      <c r="N8" s="390"/>
      <c r="O8" s="390"/>
    </row>
    <row r="9" spans="1:15" ht="15">
      <c r="A9" s="387" t="s">
        <v>52</v>
      </c>
      <c r="B9" s="387">
        <v>7</v>
      </c>
      <c r="C9" s="387" t="s">
        <v>52</v>
      </c>
      <c r="D9" s="387">
        <v>31</v>
      </c>
      <c r="E9" s="388" t="s">
        <v>51</v>
      </c>
      <c r="F9" s="388" t="str">
        <f>информация!A59</f>
        <v>Июнь2017</v>
      </c>
      <c r="G9" s="391">
        <f>информация!D59</f>
        <v>819.3</v>
      </c>
      <c r="H9" s="391">
        <v>2020</v>
      </c>
      <c r="I9" s="390">
        <f>I8</f>
        <v>0</v>
      </c>
      <c r="J9" s="390">
        <f>DATE(YEAR(I8),MONTH(I8),I10)</f>
        <v>31</v>
      </c>
      <c r="K9" s="390">
        <f>J9+1</f>
        <v>32</v>
      </c>
      <c r="L9" s="390">
        <f>DATE(YEAR(K9),MONTH(K9),K10)</f>
        <v>60</v>
      </c>
      <c r="M9" s="390">
        <f>L9+1</f>
        <v>61</v>
      </c>
      <c r="N9" s="390">
        <f>DATE(YEAR(M9),MONTH(M9),M10)</f>
        <v>91</v>
      </c>
      <c r="O9" s="390">
        <f>N9+1</f>
        <v>92</v>
      </c>
    </row>
    <row r="10" spans="1:15" ht="15">
      <c r="A10" s="387" t="s">
        <v>53</v>
      </c>
      <c r="B10" s="387">
        <v>8</v>
      </c>
      <c r="C10" s="387" t="s">
        <v>53</v>
      </c>
      <c r="D10" s="387">
        <v>31</v>
      </c>
      <c r="E10" s="388" t="s">
        <v>52</v>
      </c>
      <c r="F10" s="388" t="str">
        <f>информация!A58</f>
        <v>Июль2017</v>
      </c>
      <c r="G10" s="391">
        <f>информация!D58</f>
        <v>827.5</v>
      </c>
      <c r="H10" s="391">
        <v>2021</v>
      </c>
      <c r="I10" s="389">
        <f>36-DAY(DAY((I9)+36-DAY(I9)))</f>
        <v>31</v>
      </c>
      <c r="K10" s="389">
        <f>36-DAY(DAY((K9)+36-DAY(K9)))</f>
        <v>29</v>
      </c>
      <c r="M10" s="389">
        <f>36-DAY(DAY((M9)+36-DAY(M9)))</f>
        <v>31</v>
      </c>
      <c r="O10" s="389">
        <f>36-DAY(DAY((O9)+36-DAY(O9)))</f>
        <v>30</v>
      </c>
    </row>
    <row r="11" spans="1:15" ht="15">
      <c r="A11" s="387" t="s">
        <v>54</v>
      </c>
      <c r="B11" s="387">
        <v>9</v>
      </c>
      <c r="C11" s="387" t="s">
        <v>54</v>
      </c>
      <c r="D11" s="387">
        <v>30</v>
      </c>
      <c r="E11" s="388" t="s">
        <v>53</v>
      </c>
      <c r="F11" s="388" t="str">
        <f>информация!A57</f>
        <v>Август2017</v>
      </c>
      <c r="G11" s="391">
        <f>информация!D57</f>
        <v>844.4</v>
      </c>
      <c r="H11" s="391"/>
      <c r="I11" s="390">
        <f>I8</f>
        <v>0</v>
      </c>
      <c r="J11" s="390">
        <f>IF($J$8&gt;J9,J9,$J$8)</f>
        <v>0</v>
      </c>
      <c r="K11" s="390"/>
      <c r="L11" s="390">
        <f>IF($J$8&gt;L9,L9,$J$8)</f>
        <v>0</v>
      </c>
      <c r="M11" s="390"/>
      <c r="N11" s="390">
        <f>IF($J$8&gt;N9,N9,$J$8)</f>
        <v>0</v>
      </c>
      <c r="O11" s="390"/>
    </row>
    <row r="12" spans="1:15" ht="15">
      <c r="A12" s="387" t="s">
        <v>55</v>
      </c>
      <c r="B12" s="387">
        <v>10</v>
      </c>
      <c r="C12" s="387" t="s">
        <v>55</v>
      </c>
      <c r="D12" s="387">
        <v>31</v>
      </c>
      <c r="E12" s="388" t="s">
        <v>54</v>
      </c>
      <c r="F12" s="388" t="str">
        <f>информация!A56</f>
        <v>Сентябрь2017</v>
      </c>
      <c r="G12" s="391">
        <f>информация!D56</f>
        <v>831.3</v>
      </c>
      <c r="H12" s="391"/>
      <c r="J12" s="389">
        <f>J11-I11+1</f>
        <v>1</v>
      </c>
      <c r="K12" s="389"/>
      <c r="L12" s="389">
        <f>L11-J11</f>
        <v>0</v>
      </c>
      <c r="M12" s="389"/>
      <c r="N12" s="389">
        <f>N11-L11</f>
        <v>0</v>
      </c>
      <c r="O12" s="389"/>
    </row>
    <row r="13" spans="1:8" ht="15">
      <c r="A13" s="387" t="s">
        <v>56</v>
      </c>
      <c r="B13" s="387">
        <v>11</v>
      </c>
      <c r="C13" s="387" t="s">
        <v>56</v>
      </c>
      <c r="D13" s="387">
        <v>30</v>
      </c>
      <c r="E13" s="388" t="s">
        <v>55</v>
      </c>
      <c r="F13" s="388" t="str">
        <f>информация!A55</f>
        <v>Октябрь2017</v>
      </c>
      <c r="G13" s="391">
        <f>информация!D55</f>
        <v>841</v>
      </c>
      <c r="H13" s="391"/>
    </row>
    <row r="14" spans="1:8" ht="15">
      <c r="A14" s="387" t="s">
        <v>46</v>
      </c>
      <c r="B14" s="387">
        <v>12</v>
      </c>
      <c r="C14" s="387" t="s">
        <v>46</v>
      </c>
      <c r="D14" s="387">
        <v>31</v>
      </c>
      <c r="E14" s="388" t="s">
        <v>56</v>
      </c>
      <c r="F14" s="388" t="str">
        <f>информация!A54</f>
        <v>Ноябрь2017</v>
      </c>
      <c r="G14" s="391">
        <f>информация!D54</f>
        <v>836.9</v>
      </c>
      <c r="H14" s="391"/>
    </row>
    <row r="15" spans="2:8" ht="15">
      <c r="B15" s="387">
        <v>1</v>
      </c>
      <c r="C15" s="387" t="s">
        <v>45</v>
      </c>
      <c r="D15" s="387"/>
      <c r="F15" s="388" t="str">
        <f>информация!A53</f>
        <v>Декабрь2017</v>
      </c>
      <c r="G15" s="391">
        <f>информация!D53</f>
        <v>995.3</v>
      </c>
      <c r="H15" s="391"/>
    </row>
    <row r="16" spans="2:8" ht="15">
      <c r="B16" s="387">
        <v>2</v>
      </c>
      <c r="C16" s="387" t="s">
        <v>47</v>
      </c>
      <c r="F16" s="388" t="str">
        <f>информация!A52</f>
        <v>Январь2018</v>
      </c>
      <c r="G16" s="391">
        <f>информация!D52</f>
        <v>859</v>
      </c>
      <c r="H16" s="391"/>
    </row>
    <row r="17" spans="2:8" ht="15">
      <c r="B17" s="387">
        <v>3</v>
      </c>
      <c r="C17" s="387" t="s">
        <v>48</v>
      </c>
      <c r="F17" s="388" t="str">
        <f>информация!A51</f>
        <v>Февраль2018</v>
      </c>
      <c r="G17" s="391">
        <f>информация!D51</f>
        <v>850.4</v>
      </c>
      <c r="H17" s="391"/>
    </row>
    <row r="18" spans="2:8" ht="15">
      <c r="B18" s="387">
        <v>4</v>
      </c>
      <c r="C18" s="387" t="s">
        <v>49</v>
      </c>
      <c r="F18" s="388" t="str">
        <f>информация!A50</f>
        <v>Март2018</v>
      </c>
      <c r="G18" s="391">
        <f>информация!D50</f>
        <v>926.8</v>
      </c>
      <c r="H18" s="391"/>
    </row>
    <row r="19" spans="2:8" ht="15">
      <c r="B19" s="387">
        <v>5</v>
      </c>
      <c r="C19" s="387" t="s">
        <v>50</v>
      </c>
      <c r="F19" s="388" t="str">
        <f>информация!A49</f>
        <v>Апрель2018</v>
      </c>
      <c r="G19" s="391">
        <f>информация!D49</f>
        <v>921</v>
      </c>
      <c r="H19" s="391"/>
    </row>
    <row r="20" spans="2:8" ht="15">
      <c r="B20" s="387">
        <v>6</v>
      </c>
      <c r="C20" s="387" t="s">
        <v>51</v>
      </c>
      <c r="F20" s="388" t="str">
        <f>информация!A48</f>
        <v>Май2018</v>
      </c>
      <c r="G20" s="391">
        <f>информация!D48</f>
        <v>943.9</v>
      </c>
      <c r="H20" s="391"/>
    </row>
    <row r="21" spans="2:8" ht="15">
      <c r="B21" s="387">
        <v>7</v>
      </c>
      <c r="C21" s="387" t="s">
        <v>52</v>
      </c>
      <c r="F21" s="388" t="str">
        <f>информация!A47</f>
        <v>Июнь2018</v>
      </c>
      <c r="G21" s="391">
        <f>информация!D47</f>
        <v>953.7</v>
      </c>
      <c r="H21" s="391"/>
    </row>
    <row r="22" spans="2:8" ht="15">
      <c r="B22" s="387">
        <v>8</v>
      </c>
      <c r="C22" s="387" t="s">
        <v>53</v>
      </c>
      <c r="F22" s="388" t="str">
        <f>информация!A46</f>
        <v>Июль2018</v>
      </c>
      <c r="G22" s="391">
        <f>информация!D46</f>
        <v>973.8</v>
      </c>
      <c r="H22" s="391"/>
    </row>
    <row r="23" spans="2:8" ht="15">
      <c r="B23" s="387">
        <v>9</v>
      </c>
      <c r="C23" s="387" t="s">
        <v>54</v>
      </c>
      <c r="F23" s="388" t="str">
        <f>информация!A45</f>
        <v>Август2018</v>
      </c>
      <c r="G23" s="391">
        <f>информация!D45</f>
        <v>987.5</v>
      </c>
      <c r="H23" s="391"/>
    </row>
    <row r="24" spans="2:8" ht="15">
      <c r="B24" s="387">
        <v>10</v>
      </c>
      <c r="C24" s="387" t="s">
        <v>55</v>
      </c>
      <c r="F24" s="388" t="str">
        <f>информация!A44</f>
        <v>Сентябрь2018</v>
      </c>
      <c r="G24" s="391">
        <f>информация!D44</f>
        <v>963.6</v>
      </c>
      <c r="H24" s="391"/>
    </row>
    <row r="25" spans="2:8" ht="15">
      <c r="B25" s="387">
        <v>11</v>
      </c>
      <c r="C25" s="387" t="s">
        <v>56</v>
      </c>
      <c r="F25" s="388" t="str">
        <f>информация!A43</f>
        <v>Октябрь2018</v>
      </c>
      <c r="G25" s="391">
        <f>информация!D43</f>
        <v>999.7</v>
      </c>
      <c r="H25" s="391"/>
    </row>
    <row r="26" spans="2:8" ht="15">
      <c r="B26" s="387">
        <v>12</v>
      </c>
      <c r="C26" s="387" t="s">
        <v>46</v>
      </c>
      <c r="F26" s="388" t="str">
        <f>информация!A42</f>
        <v>Ноябрь2018</v>
      </c>
      <c r="G26" s="391">
        <f>информация!D42</f>
        <v>994</v>
      </c>
      <c r="H26" s="391"/>
    </row>
    <row r="27" spans="6:7" ht="15">
      <c r="F27" s="388" t="str">
        <f>информация!A41</f>
        <v>Декабрь2018</v>
      </c>
      <c r="G27" s="391">
        <f>информация!D41</f>
        <v>1115.3</v>
      </c>
    </row>
    <row r="28" spans="6:7" ht="15">
      <c r="F28" s="388" t="str">
        <f>информация!A40</f>
        <v>Январь2019</v>
      </c>
      <c r="G28" s="391">
        <f>информация!D40</f>
        <v>981.6</v>
      </c>
    </row>
    <row r="29" spans="6:7" ht="15">
      <c r="F29" s="388" t="str">
        <f>информация!A39</f>
        <v>Февраль2019</v>
      </c>
      <c r="G29" s="391">
        <f>информация!D39</f>
        <v>977.6</v>
      </c>
    </row>
    <row r="30" spans="6:7" ht="15">
      <c r="F30" s="388" t="str">
        <f>информация!A38</f>
        <v>Март2019</v>
      </c>
      <c r="G30" s="391">
        <f>информация!D38</f>
        <v>1056.9</v>
      </c>
    </row>
    <row r="31" spans="6:7" ht="15">
      <c r="F31" s="388" t="str">
        <f>информация!A37</f>
        <v>Апрель2019</v>
      </c>
      <c r="G31" s="391">
        <f>информация!D37</f>
        <v>1073.7</v>
      </c>
    </row>
    <row r="32" spans="6:7" ht="15">
      <c r="F32" s="388" t="str">
        <f>информация!A36</f>
        <v>Май2019</v>
      </c>
      <c r="G32" s="391">
        <f>информация!D36</f>
        <v>1071.6</v>
      </c>
    </row>
    <row r="33" spans="6:7" ht="15">
      <c r="F33" s="388" t="str">
        <f>информация!A35</f>
        <v>Июнь2019</v>
      </c>
      <c r="G33" s="391">
        <f>информация!D35</f>
        <v>1080.5</v>
      </c>
    </row>
    <row r="34" spans="6:7" ht="15">
      <c r="F34" s="388" t="str">
        <f>информация!A34</f>
        <v>Июль2019</v>
      </c>
      <c r="G34" s="391">
        <f>информация!D34</f>
        <v>1128.5</v>
      </c>
    </row>
    <row r="35" spans="6:7" ht="15">
      <c r="F35" s="388" t="str">
        <f>информация!A33</f>
        <v>Август2019</v>
      </c>
      <c r="G35" s="391">
        <f>информация!D33</f>
        <v>1117.8</v>
      </c>
    </row>
    <row r="36" spans="6:7" ht="15">
      <c r="F36" s="388" t="str">
        <f>информация!A32</f>
        <v>Сентябрь2019</v>
      </c>
      <c r="G36" s="391">
        <f>информация!D32</f>
        <v>1108.5</v>
      </c>
    </row>
    <row r="37" spans="6:7" ht="15">
      <c r="F37" s="388" t="str">
        <f>информация!A31</f>
        <v>Октябрь2019</v>
      </c>
      <c r="G37" s="391">
        <f>информация!D31</f>
        <v>1123.4</v>
      </c>
    </row>
    <row r="38" spans="6:7" ht="15">
      <c r="F38" s="388" t="str">
        <f>информация!A30</f>
        <v>Ноябрь2019</v>
      </c>
      <c r="G38" s="391">
        <f>информация!D30</f>
        <v>1113.1</v>
      </c>
    </row>
    <row r="39" spans="6:7" ht="15">
      <c r="F39" s="388" t="str">
        <f>информация!A29</f>
        <v>Декабрь2019</v>
      </c>
      <c r="G39" s="391">
        <f>информация!D29</f>
        <v>1238.7</v>
      </c>
    </row>
    <row r="40" spans="6:7" ht="15">
      <c r="F40" s="388" t="str">
        <f>информация!A28</f>
        <v>Январь2020</v>
      </c>
      <c r="G40" s="391">
        <f>информация!D28</f>
        <v>1118.1</v>
      </c>
    </row>
    <row r="41" spans="6:7" ht="15">
      <c r="F41" s="388" t="str">
        <f>информация!A27</f>
        <v>Февраль2020</v>
      </c>
      <c r="G41" s="391">
        <f>информация!D27</f>
        <v>1119.7</v>
      </c>
    </row>
    <row r="42" spans="6:7" ht="15">
      <c r="F42" s="388" t="str">
        <f>информация!A26</f>
        <v>Март2020</v>
      </c>
      <c r="G42" s="391">
        <f>информация!D26</f>
        <v>1213.6</v>
      </c>
    </row>
    <row r="43" spans="6:7" ht="15">
      <c r="F43" s="388" t="str">
        <f>информация!A25</f>
        <v>Апрель2020</v>
      </c>
      <c r="G43" s="391">
        <f>информация!D25</f>
        <v>1193.8</v>
      </c>
    </row>
    <row r="44" spans="6:7" ht="15">
      <c r="F44" s="388" t="str">
        <f>информация!A24</f>
        <v>Май2020</v>
      </c>
      <c r="G44" s="391">
        <f>информация!D24</f>
        <v>1227.9</v>
      </c>
    </row>
    <row r="45" spans="6:7" ht="15">
      <c r="F45" s="388" t="str">
        <f>информация!A23</f>
        <v>Июнь2020</v>
      </c>
      <c r="G45" s="391">
        <f>информация!D23</f>
        <v>1248.9</v>
      </c>
    </row>
    <row r="46" spans="6:7" ht="15">
      <c r="F46" s="388" t="str">
        <f>информация!A22</f>
        <v>Июль2020</v>
      </c>
      <c r="G46" s="391">
        <f>информация!D22</f>
        <v>1287.5</v>
      </c>
    </row>
    <row r="47" spans="6:7" ht="15">
      <c r="F47" s="388" t="str">
        <f>информация!A21</f>
        <v>Август2020</v>
      </c>
      <c r="G47" s="391">
        <f>информация!D21</f>
        <v>1276.4</v>
      </c>
    </row>
    <row r="48" spans="6:7" ht="15">
      <c r="F48" s="388" t="str">
        <f>информация!A20</f>
        <v>Сентябрь2020</v>
      </c>
      <c r="G48" s="391">
        <f>информация!D20</f>
        <v>1264.5</v>
      </c>
    </row>
    <row r="49" spans="6:7" ht="15">
      <c r="F49" s="388" t="str">
        <f>информация!A19</f>
        <v>Октябрь2020</v>
      </c>
      <c r="G49" s="391">
        <f>информация!D19</f>
        <v>1285</v>
      </c>
    </row>
    <row r="50" spans="6:7" ht="15">
      <c r="F50" s="388" t="str">
        <f>информация!A18</f>
        <v>Ноябрь2020</v>
      </c>
      <c r="G50" s="391">
        <f>информация!D18</f>
        <v>1300.5</v>
      </c>
    </row>
    <row r="51" spans="6:7" ht="15">
      <c r="F51" s="388" t="str">
        <f>информация!A17</f>
        <v>Декабрь2020</v>
      </c>
      <c r="G51" s="391">
        <f>информация!D17</f>
        <v>1474.6</v>
      </c>
    </row>
    <row r="52" spans="6:7" ht="15">
      <c r="F52" s="388" t="str">
        <f>информация!A16</f>
        <v>Январь2021</v>
      </c>
      <c r="G52" s="391">
        <f>информация!D16</f>
        <v>1290</v>
      </c>
    </row>
    <row r="53" spans="6:7" ht="15">
      <c r="F53" s="388" t="str">
        <f>информация!A15</f>
        <v>Февраль2021</v>
      </c>
      <c r="G53" s="391">
        <f>информация!D15</f>
        <v>1290</v>
      </c>
    </row>
    <row r="54" spans="6:7" ht="15">
      <c r="F54" s="388" t="str">
        <f>информация!A14</f>
        <v>Март2021</v>
      </c>
      <c r="G54" s="391">
        <f>информация!D14</f>
        <v>1290</v>
      </c>
    </row>
    <row r="55" spans="6:7" ht="15">
      <c r="F55" s="388" t="str">
        <f>информация!A13</f>
        <v>Апрель2021</v>
      </c>
      <c r="G55" s="391">
        <f>информация!D13</f>
        <v>1290</v>
      </c>
    </row>
    <row r="56" spans="6:7" ht="15">
      <c r="F56" s="388" t="str">
        <f>информация!A12</f>
        <v>Май2021</v>
      </c>
      <c r="G56" s="391">
        <f>информация!D12</f>
        <v>1290</v>
      </c>
    </row>
    <row r="57" spans="6:7" ht="15">
      <c r="F57" s="388" t="str">
        <f>информация!A11</f>
        <v>Июнь2021</v>
      </c>
      <c r="G57" s="391">
        <f>информация!D11</f>
        <v>1290</v>
      </c>
    </row>
    <row r="58" spans="6:7" ht="15">
      <c r="F58" s="388" t="str">
        <f>информация!A10</f>
        <v>Июль2021</v>
      </c>
      <c r="G58" s="391">
        <f>информация!D10</f>
        <v>1290</v>
      </c>
    </row>
    <row r="59" spans="6:7" ht="15">
      <c r="F59" s="388" t="str">
        <f>информация!A9</f>
        <v>Август2021</v>
      </c>
      <c r="G59" s="391">
        <f>информация!D9</f>
        <v>1290</v>
      </c>
    </row>
    <row r="60" spans="6:7" ht="15">
      <c r="F60" s="388" t="str">
        <f>информация!A8</f>
        <v>Сентябрь2021</v>
      </c>
      <c r="G60" s="391">
        <f>информация!D8</f>
        <v>1290</v>
      </c>
    </row>
    <row r="61" spans="6:7" ht="15">
      <c r="F61" s="388" t="str">
        <f>информация!A7</f>
        <v>Октябрь2021</v>
      </c>
      <c r="G61" s="391">
        <f>информация!D7</f>
        <v>1290</v>
      </c>
    </row>
    <row r="62" spans="6:7" ht="15">
      <c r="F62" s="388" t="str">
        <f>информация!A6</f>
        <v>Ноябрь2021</v>
      </c>
      <c r="G62" s="391">
        <f>информация!D6</f>
        <v>1290</v>
      </c>
    </row>
    <row r="63" spans="6:7" ht="15">
      <c r="F63" s="388" t="str">
        <f>информация!A5</f>
        <v>Декабрь2021</v>
      </c>
      <c r="G63" s="391">
        <f>информация!D5</f>
        <v>1290</v>
      </c>
    </row>
    <row r="64" ht="15">
      <c r="F64" s="388"/>
    </row>
    <row r="65" ht="15">
      <c r="F65" s="388"/>
    </row>
    <row r="66" ht="15">
      <c r="F66" s="388"/>
    </row>
    <row r="67" ht="15">
      <c r="F67" s="388"/>
    </row>
  </sheetData>
  <sheetProtection/>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8.xml><?xml version="1.0" encoding="utf-8"?>
<worksheet xmlns="http://schemas.openxmlformats.org/spreadsheetml/2006/main" xmlns:r="http://schemas.openxmlformats.org/officeDocument/2006/relationships">
  <dimension ref="A1:H147"/>
  <sheetViews>
    <sheetView zoomScalePageLayoutView="0" workbookViewId="0" topLeftCell="A1">
      <selection activeCell="A1" sqref="A1"/>
    </sheetView>
  </sheetViews>
  <sheetFormatPr defaultColWidth="9.00390625" defaultRowHeight="12.75"/>
  <cols>
    <col min="1" max="1" width="2.75390625" style="423" customWidth="1"/>
    <col min="2" max="3" width="12.875" style="409" customWidth="1"/>
    <col min="4" max="4" width="22.00390625" style="410" customWidth="1"/>
    <col min="5" max="5" width="22.75390625" style="374" hidden="1" customWidth="1"/>
    <col min="6" max="9" width="8.75390625" style="374" hidden="1" customWidth="1"/>
    <col min="10" max="11" width="14.125" style="374" hidden="1" customWidth="1"/>
    <col min="12" max="16" width="3.75390625" style="374" hidden="1" customWidth="1"/>
    <col min="17" max="19" width="0" style="374" hidden="1" customWidth="1"/>
    <col min="20" max="112" width="2.75390625" style="374" customWidth="1"/>
    <col min="113" max="16384" width="9.125" style="374" customWidth="1"/>
  </cols>
  <sheetData>
    <row r="1" ht="11.25" thickBot="1">
      <c r="A1" s="422"/>
    </row>
    <row r="2" spans="2:5" ht="57" customHeight="1">
      <c r="B2" s="565" t="s">
        <v>212</v>
      </c>
      <c r="C2" s="566"/>
      <c r="D2" s="567"/>
      <c r="E2" s="375"/>
    </row>
    <row r="3" spans="2:7" ht="10.5">
      <c r="B3" s="411"/>
      <c r="C3" s="406"/>
      <c r="D3" s="383"/>
      <c r="G3" s="376"/>
    </row>
    <row r="4" spans="2:7" ht="45" customHeight="1">
      <c r="B4" s="427" t="s">
        <v>59</v>
      </c>
      <c r="C4" s="428" t="s">
        <v>73</v>
      </c>
      <c r="D4" s="429" t="s">
        <v>58</v>
      </c>
      <c r="E4" s="377"/>
      <c r="G4" s="376"/>
    </row>
    <row r="5" spans="1:7" ht="12" customHeight="1">
      <c r="A5" s="423" t="str">
        <f aca="true" t="shared" si="0" ref="A5:A17">CONCATENATE(C5,B5)</f>
        <v>Декабрь2021</v>
      </c>
      <c r="B5" s="412">
        <v>2021</v>
      </c>
      <c r="C5" s="403" t="s">
        <v>46</v>
      </c>
      <c r="D5" s="413">
        <f aca="true" t="shared" si="1" ref="D5:D15">D6</f>
        <v>1290</v>
      </c>
      <c r="G5" s="376"/>
    </row>
    <row r="6" spans="1:7" ht="12" customHeight="1">
      <c r="A6" s="423" t="str">
        <f t="shared" si="0"/>
        <v>Ноябрь2021</v>
      </c>
      <c r="B6" s="412">
        <v>2021</v>
      </c>
      <c r="C6" s="403" t="s">
        <v>56</v>
      </c>
      <c r="D6" s="413">
        <f t="shared" si="1"/>
        <v>1290</v>
      </c>
      <c r="G6" s="376"/>
    </row>
    <row r="7" spans="1:7" ht="12" customHeight="1">
      <c r="A7" s="423" t="str">
        <f t="shared" si="0"/>
        <v>Октябрь2021</v>
      </c>
      <c r="B7" s="412">
        <v>2021</v>
      </c>
      <c r="C7" s="403" t="s">
        <v>55</v>
      </c>
      <c r="D7" s="413">
        <f t="shared" si="1"/>
        <v>1290</v>
      </c>
      <c r="G7" s="376"/>
    </row>
    <row r="8" spans="1:7" ht="12" customHeight="1">
      <c r="A8" s="423" t="str">
        <f t="shared" si="0"/>
        <v>Сентябрь2021</v>
      </c>
      <c r="B8" s="412">
        <v>2021</v>
      </c>
      <c r="C8" s="403" t="s">
        <v>54</v>
      </c>
      <c r="D8" s="413">
        <f t="shared" si="1"/>
        <v>1290</v>
      </c>
      <c r="G8" s="376"/>
    </row>
    <row r="9" spans="1:7" ht="12" customHeight="1">
      <c r="A9" s="423" t="str">
        <f t="shared" si="0"/>
        <v>Август2021</v>
      </c>
      <c r="B9" s="412">
        <v>2021</v>
      </c>
      <c r="C9" s="403" t="s">
        <v>53</v>
      </c>
      <c r="D9" s="413">
        <f t="shared" si="1"/>
        <v>1290</v>
      </c>
      <c r="G9" s="376"/>
    </row>
    <row r="10" spans="1:7" ht="12" customHeight="1">
      <c r="A10" s="423" t="str">
        <f t="shared" si="0"/>
        <v>Июль2021</v>
      </c>
      <c r="B10" s="412">
        <v>2021</v>
      </c>
      <c r="C10" s="404" t="s">
        <v>52</v>
      </c>
      <c r="D10" s="413">
        <f t="shared" si="1"/>
        <v>1290</v>
      </c>
      <c r="G10" s="376"/>
    </row>
    <row r="11" spans="1:7" ht="12" customHeight="1">
      <c r="A11" s="423" t="str">
        <f t="shared" si="0"/>
        <v>Июнь2021</v>
      </c>
      <c r="B11" s="412">
        <v>2021</v>
      </c>
      <c r="C11" s="404" t="s">
        <v>51</v>
      </c>
      <c r="D11" s="413">
        <f t="shared" si="1"/>
        <v>1290</v>
      </c>
      <c r="G11" s="376"/>
    </row>
    <row r="12" spans="1:7" ht="12" customHeight="1">
      <c r="A12" s="423" t="str">
        <f t="shared" si="0"/>
        <v>Май2021</v>
      </c>
      <c r="B12" s="412">
        <v>2021</v>
      </c>
      <c r="C12" s="404" t="s">
        <v>50</v>
      </c>
      <c r="D12" s="413">
        <f t="shared" si="1"/>
        <v>1290</v>
      </c>
      <c r="G12" s="376"/>
    </row>
    <row r="13" spans="1:7" ht="12" customHeight="1">
      <c r="A13" s="423" t="str">
        <f t="shared" si="0"/>
        <v>Апрель2021</v>
      </c>
      <c r="B13" s="412">
        <v>2021</v>
      </c>
      <c r="C13" s="405" t="s">
        <v>49</v>
      </c>
      <c r="D13" s="413">
        <f t="shared" si="1"/>
        <v>1290</v>
      </c>
      <c r="G13" s="376"/>
    </row>
    <row r="14" spans="1:7" ht="12" customHeight="1">
      <c r="A14" s="423" t="str">
        <f t="shared" si="0"/>
        <v>Март2021</v>
      </c>
      <c r="B14" s="412">
        <v>2021</v>
      </c>
      <c r="C14" s="404" t="s">
        <v>48</v>
      </c>
      <c r="D14" s="413">
        <f t="shared" si="1"/>
        <v>1290</v>
      </c>
      <c r="G14" s="376"/>
    </row>
    <row r="15" spans="1:7" ht="12" customHeight="1">
      <c r="A15" s="423" t="str">
        <f t="shared" si="0"/>
        <v>Февраль2021</v>
      </c>
      <c r="B15" s="412">
        <v>2021</v>
      </c>
      <c r="C15" s="405" t="s">
        <v>47</v>
      </c>
      <c r="D15" s="413">
        <f t="shared" si="1"/>
        <v>1290</v>
      </c>
      <c r="G15" s="376"/>
    </row>
    <row r="16" spans="1:7" ht="12" customHeight="1">
      <c r="A16" s="423" t="str">
        <f t="shared" si="0"/>
        <v>Январь2021</v>
      </c>
      <c r="B16" s="412">
        <v>2021</v>
      </c>
      <c r="C16" s="405" t="s">
        <v>45</v>
      </c>
      <c r="D16" s="413">
        <v>1290</v>
      </c>
      <c r="G16" s="376"/>
    </row>
    <row r="17" spans="1:7" ht="12" customHeight="1">
      <c r="A17" s="423" t="str">
        <f t="shared" si="0"/>
        <v>Декабрь2020</v>
      </c>
      <c r="B17" s="412">
        <v>2020</v>
      </c>
      <c r="C17" s="403" t="s">
        <v>46</v>
      </c>
      <c r="D17" s="413">
        <v>1474.6</v>
      </c>
      <c r="G17" s="376"/>
    </row>
    <row r="18" spans="1:7" ht="12" customHeight="1">
      <c r="A18" s="423" t="str">
        <f aca="true" t="shared" si="2" ref="A18:A77">CONCATENATE(C18,B18)</f>
        <v>Ноябрь2020</v>
      </c>
      <c r="B18" s="412">
        <v>2020</v>
      </c>
      <c r="C18" s="403" t="s">
        <v>56</v>
      </c>
      <c r="D18" s="413">
        <v>1300.5</v>
      </c>
      <c r="G18" s="376"/>
    </row>
    <row r="19" spans="1:7" ht="12" customHeight="1">
      <c r="A19" s="423" t="str">
        <f t="shared" si="2"/>
        <v>Октябрь2020</v>
      </c>
      <c r="B19" s="412">
        <v>2020</v>
      </c>
      <c r="C19" s="403" t="s">
        <v>55</v>
      </c>
      <c r="D19" s="413">
        <v>1285</v>
      </c>
      <c r="G19" s="376"/>
    </row>
    <row r="20" spans="1:7" ht="12" customHeight="1">
      <c r="A20" s="423" t="str">
        <f t="shared" si="2"/>
        <v>Сентябрь2020</v>
      </c>
      <c r="B20" s="412">
        <v>2020</v>
      </c>
      <c r="C20" s="403" t="s">
        <v>54</v>
      </c>
      <c r="D20" s="413">
        <v>1264.5</v>
      </c>
      <c r="G20" s="376"/>
    </row>
    <row r="21" spans="1:7" ht="12" customHeight="1">
      <c r="A21" s="423" t="str">
        <f t="shared" si="2"/>
        <v>Август2020</v>
      </c>
      <c r="B21" s="412">
        <v>2020</v>
      </c>
      <c r="C21" s="403" t="s">
        <v>53</v>
      </c>
      <c r="D21" s="413">
        <v>1276.4</v>
      </c>
      <c r="G21" s="376"/>
    </row>
    <row r="22" spans="1:7" ht="12" customHeight="1">
      <c r="A22" s="423" t="str">
        <f t="shared" si="2"/>
        <v>Июль2020</v>
      </c>
      <c r="B22" s="412">
        <v>2020</v>
      </c>
      <c r="C22" s="404" t="s">
        <v>52</v>
      </c>
      <c r="D22" s="413">
        <v>1287.5</v>
      </c>
      <c r="G22" s="376"/>
    </row>
    <row r="23" spans="1:7" ht="12" customHeight="1">
      <c r="A23" s="423" t="str">
        <f t="shared" si="2"/>
        <v>Июнь2020</v>
      </c>
      <c r="B23" s="412">
        <v>2020</v>
      </c>
      <c r="C23" s="404" t="s">
        <v>51</v>
      </c>
      <c r="D23" s="413">
        <v>1248.9</v>
      </c>
      <c r="G23" s="376"/>
    </row>
    <row r="24" spans="1:7" ht="12" customHeight="1">
      <c r="A24" s="423" t="str">
        <f t="shared" si="2"/>
        <v>Май2020</v>
      </c>
      <c r="B24" s="412">
        <v>2020</v>
      </c>
      <c r="C24" s="404" t="s">
        <v>50</v>
      </c>
      <c r="D24" s="413">
        <v>1227.9</v>
      </c>
      <c r="G24" s="376"/>
    </row>
    <row r="25" spans="1:7" ht="12" customHeight="1">
      <c r="A25" s="423" t="str">
        <f t="shared" si="2"/>
        <v>Апрель2020</v>
      </c>
      <c r="B25" s="412">
        <v>2020</v>
      </c>
      <c r="C25" s="405" t="s">
        <v>49</v>
      </c>
      <c r="D25" s="413">
        <v>1193.8</v>
      </c>
      <c r="G25" s="376"/>
    </row>
    <row r="26" spans="1:7" ht="12" customHeight="1">
      <c r="A26" s="423" t="str">
        <f t="shared" si="2"/>
        <v>Март2020</v>
      </c>
      <c r="B26" s="412">
        <v>2020</v>
      </c>
      <c r="C26" s="404" t="s">
        <v>48</v>
      </c>
      <c r="D26" s="413">
        <v>1213.6</v>
      </c>
      <c r="G26" s="376"/>
    </row>
    <row r="27" spans="1:7" ht="12" customHeight="1">
      <c r="A27" s="423" t="str">
        <f t="shared" si="2"/>
        <v>Февраль2020</v>
      </c>
      <c r="B27" s="412">
        <v>2020</v>
      </c>
      <c r="C27" s="405" t="s">
        <v>47</v>
      </c>
      <c r="D27" s="413">
        <v>1119.7</v>
      </c>
      <c r="G27" s="376"/>
    </row>
    <row r="28" spans="1:7" ht="12" customHeight="1">
      <c r="A28" s="423" t="str">
        <f t="shared" si="2"/>
        <v>Январь2020</v>
      </c>
      <c r="B28" s="412">
        <v>2020</v>
      </c>
      <c r="C28" s="405" t="s">
        <v>45</v>
      </c>
      <c r="D28" s="413">
        <v>1118.1</v>
      </c>
      <c r="G28" s="376"/>
    </row>
    <row r="29" spans="1:7" ht="12" customHeight="1">
      <c r="A29" s="423" t="str">
        <f t="shared" si="2"/>
        <v>Декабрь2019</v>
      </c>
      <c r="B29" s="412">
        <v>2019</v>
      </c>
      <c r="C29" s="403" t="s">
        <v>46</v>
      </c>
      <c r="D29" s="413">
        <v>1238.7</v>
      </c>
      <c r="G29" s="376"/>
    </row>
    <row r="30" spans="1:7" ht="12" customHeight="1">
      <c r="A30" s="423" t="str">
        <f t="shared" si="2"/>
        <v>Ноябрь2019</v>
      </c>
      <c r="B30" s="412">
        <v>2019</v>
      </c>
      <c r="C30" s="403" t="s">
        <v>56</v>
      </c>
      <c r="D30" s="413">
        <v>1113.1</v>
      </c>
      <c r="G30" s="376"/>
    </row>
    <row r="31" spans="1:7" ht="12" customHeight="1">
      <c r="A31" s="423" t="str">
        <f t="shared" si="2"/>
        <v>Октябрь2019</v>
      </c>
      <c r="B31" s="412">
        <v>2019</v>
      </c>
      <c r="C31" s="403" t="s">
        <v>55</v>
      </c>
      <c r="D31" s="413">
        <v>1123.4</v>
      </c>
      <c r="G31" s="376"/>
    </row>
    <row r="32" spans="1:7" ht="12" customHeight="1">
      <c r="A32" s="423" t="str">
        <f t="shared" si="2"/>
        <v>Сентябрь2019</v>
      </c>
      <c r="B32" s="412">
        <v>2019</v>
      </c>
      <c r="C32" s="403" t="s">
        <v>54</v>
      </c>
      <c r="D32" s="413">
        <v>1108.5</v>
      </c>
      <c r="G32" s="376"/>
    </row>
    <row r="33" spans="1:7" ht="12" customHeight="1">
      <c r="A33" s="423" t="str">
        <f t="shared" si="2"/>
        <v>Август2019</v>
      </c>
      <c r="B33" s="412">
        <v>2019</v>
      </c>
      <c r="C33" s="403" t="s">
        <v>53</v>
      </c>
      <c r="D33" s="413">
        <v>1117.8</v>
      </c>
      <c r="G33" s="376"/>
    </row>
    <row r="34" spans="1:7" ht="12" customHeight="1">
      <c r="A34" s="423" t="str">
        <f t="shared" si="2"/>
        <v>Июль2019</v>
      </c>
      <c r="B34" s="412">
        <v>2019</v>
      </c>
      <c r="C34" s="404" t="s">
        <v>52</v>
      </c>
      <c r="D34" s="413">
        <v>1128.5</v>
      </c>
      <c r="G34" s="376"/>
    </row>
    <row r="35" spans="1:7" ht="12" customHeight="1">
      <c r="A35" s="423" t="str">
        <f t="shared" si="2"/>
        <v>Июнь2019</v>
      </c>
      <c r="B35" s="412">
        <v>2019</v>
      </c>
      <c r="C35" s="404" t="s">
        <v>51</v>
      </c>
      <c r="D35" s="413">
        <v>1080.5</v>
      </c>
      <c r="G35" s="376"/>
    </row>
    <row r="36" spans="1:7" ht="12" customHeight="1">
      <c r="A36" s="423" t="str">
        <f t="shared" si="2"/>
        <v>Май2019</v>
      </c>
      <c r="B36" s="412">
        <v>2019</v>
      </c>
      <c r="C36" s="404" t="s">
        <v>50</v>
      </c>
      <c r="D36" s="413">
        <v>1071.6</v>
      </c>
      <c r="G36" s="376"/>
    </row>
    <row r="37" spans="1:7" ht="12" customHeight="1">
      <c r="A37" s="423" t="str">
        <f t="shared" si="2"/>
        <v>Апрель2019</v>
      </c>
      <c r="B37" s="412">
        <v>2019</v>
      </c>
      <c r="C37" s="405" t="s">
        <v>49</v>
      </c>
      <c r="D37" s="413">
        <v>1073.7</v>
      </c>
      <c r="G37" s="376"/>
    </row>
    <row r="38" spans="1:7" ht="12" customHeight="1">
      <c r="A38" s="423" t="str">
        <f t="shared" si="2"/>
        <v>Март2019</v>
      </c>
      <c r="B38" s="412">
        <v>2019</v>
      </c>
      <c r="C38" s="404" t="s">
        <v>48</v>
      </c>
      <c r="D38" s="413">
        <v>1056.9</v>
      </c>
      <c r="G38" s="376"/>
    </row>
    <row r="39" spans="1:7" ht="12" customHeight="1">
      <c r="A39" s="423" t="str">
        <f t="shared" si="2"/>
        <v>Февраль2019</v>
      </c>
      <c r="B39" s="412">
        <v>2019</v>
      </c>
      <c r="C39" s="405" t="s">
        <v>47</v>
      </c>
      <c r="D39" s="413">
        <v>977.6</v>
      </c>
      <c r="G39" s="376"/>
    </row>
    <row r="40" spans="1:7" ht="12" customHeight="1">
      <c r="A40" s="423" t="str">
        <f t="shared" si="2"/>
        <v>Январь2019</v>
      </c>
      <c r="B40" s="412">
        <v>2019</v>
      </c>
      <c r="C40" s="405" t="s">
        <v>45</v>
      </c>
      <c r="D40" s="413">
        <v>981.6</v>
      </c>
      <c r="G40" s="376"/>
    </row>
    <row r="41" spans="1:7" ht="12" customHeight="1">
      <c r="A41" s="423" t="str">
        <f t="shared" si="2"/>
        <v>Декабрь2018</v>
      </c>
      <c r="B41" s="412">
        <v>2018</v>
      </c>
      <c r="C41" s="403" t="s">
        <v>46</v>
      </c>
      <c r="D41" s="413">
        <v>1115.3</v>
      </c>
      <c r="G41" s="376"/>
    </row>
    <row r="42" spans="1:7" ht="12" customHeight="1">
      <c r="A42" s="423" t="str">
        <f t="shared" si="2"/>
        <v>Ноябрь2018</v>
      </c>
      <c r="B42" s="412">
        <v>2018</v>
      </c>
      <c r="C42" s="403" t="s">
        <v>56</v>
      </c>
      <c r="D42" s="413">
        <v>994</v>
      </c>
      <c r="E42" s="377"/>
      <c r="G42" s="376"/>
    </row>
    <row r="43" spans="1:7" ht="12" customHeight="1">
      <c r="A43" s="423" t="str">
        <f t="shared" si="2"/>
        <v>Октябрь2018</v>
      </c>
      <c r="B43" s="412">
        <v>2018</v>
      </c>
      <c r="C43" s="403" t="s">
        <v>55</v>
      </c>
      <c r="D43" s="413">
        <v>999.7</v>
      </c>
      <c r="E43" s="377"/>
      <c r="G43" s="376"/>
    </row>
    <row r="44" spans="1:7" ht="12" customHeight="1">
      <c r="A44" s="423" t="str">
        <f t="shared" si="2"/>
        <v>Сентябрь2018</v>
      </c>
      <c r="B44" s="412">
        <v>2018</v>
      </c>
      <c r="C44" s="403" t="s">
        <v>54</v>
      </c>
      <c r="D44" s="413">
        <v>963.6</v>
      </c>
      <c r="E44" s="377"/>
      <c r="G44" s="376"/>
    </row>
    <row r="45" spans="1:7" ht="12" customHeight="1">
      <c r="A45" s="423" t="str">
        <f t="shared" si="2"/>
        <v>Август2018</v>
      </c>
      <c r="B45" s="412">
        <v>2018</v>
      </c>
      <c r="C45" s="403" t="s">
        <v>53</v>
      </c>
      <c r="D45" s="413">
        <v>987.5</v>
      </c>
      <c r="E45" s="377"/>
      <c r="G45" s="376"/>
    </row>
    <row r="46" spans="1:7" ht="12" customHeight="1">
      <c r="A46" s="423" t="str">
        <f t="shared" si="2"/>
        <v>Июль2018</v>
      </c>
      <c r="B46" s="412">
        <v>2018</v>
      </c>
      <c r="C46" s="404" t="s">
        <v>52</v>
      </c>
      <c r="D46" s="413">
        <v>973.8</v>
      </c>
      <c r="E46" s="377"/>
      <c r="G46" s="376"/>
    </row>
    <row r="47" spans="1:7" ht="12" customHeight="1">
      <c r="A47" s="423" t="str">
        <f t="shared" si="2"/>
        <v>Июнь2018</v>
      </c>
      <c r="B47" s="412">
        <v>2018</v>
      </c>
      <c r="C47" s="404" t="s">
        <v>51</v>
      </c>
      <c r="D47" s="413">
        <v>953.7</v>
      </c>
      <c r="E47" s="377"/>
      <c r="G47" s="376"/>
    </row>
    <row r="48" spans="1:7" ht="12" customHeight="1">
      <c r="A48" s="423" t="str">
        <f t="shared" si="2"/>
        <v>Май2018</v>
      </c>
      <c r="B48" s="412">
        <v>2018</v>
      </c>
      <c r="C48" s="404" t="s">
        <v>50</v>
      </c>
      <c r="D48" s="413">
        <v>943.9</v>
      </c>
      <c r="E48" s="377"/>
      <c r="G48" s="376"/>
    </row>
    <row r="49" spans="1:7" ht="12" customHeight="1">
      <c r="A49" s="423" t="str">
        <f t="shared" si="2"/>
        <v>Апрель2018</v>
      </c>
      <c r="B49" s="412">
        <v>2018</v>
      </c>
      <c r="C49" s="405" t="s">
        <v>49</v>
      </c>
      <c r="D49" s="413">
        <v>921</v>
      </c>
      <c r="E49" s="377"/>
      <c r="G49" s="376"/>
    </row>
    <row r="50" spans="1:7" ht="12" customHeight="1">
      <c r="A50" s="423" t="str">
        <f t="shared" si="2"/>
        <v>Март2018</v>
      </c>
      <c r="B50" s="412">
        <v>2018</v>
      </c>
      <c r="C50" s="404" t="s">
        <v>48</v>
      </c>
      <c r="D50" s="413">
        <v>926.8</v>
      </c>
      <c r="E50" s="377"/>
      <c r="G50" s="376"/>
    </row>
    <row r="51" spans="1:7" ht="12" customHeight="1">
      <c r="A51" s="423" t="str">
        <f t="shared" si="2"/>
        <v>Февраль2018</v>
      </c>
      <c r="B51" s="412">
        <v>2018</v>
      </c>
      <c r="C51" s="405" t="s">
        <v>47</v>
      </c>
      <c r="D51" s="413">
        <v>850.4</v>
      </c>
      <c r="E51" s="377"/>
      <c r="G51" s="376"/>
    </row>
    <row r="52" spans="1:7" ht="12" customHeight="1">
      <c r="A52" s="423" t="str">
        <f t="shared" si="2"/>
        <v>Январь2018</v>
      </c>
      <c r="B52" s="412">
        <v>2018</v>
      </c>
      <c r="C52" s="405" t="s">
        <v>45</v>
      </c>
      <c r="D52" s="413">
        <v>859</v>
      </c>
      <c r="E52" s="377"/>
      <c r="G52" s="376"/>
    </row>
    <row r="53" spans="1:7" ht="12" customHeight="1">
      <c r="A53" s="423" t="str">
        <f t="shared" si="2"/>
        <v>Декабрь2017</v>
      </c>
      <c r="B53" s="412">
        <v>2017</v>
      </c>
      <c r="C53" s="403" t="s">
        <v>46</v>
      </c>
      <c r="D53" s="413">
        <v>995.3</v>
      </c>
      <c r="G53" s="376"/>
    </row>
    <row r="54" spans="1:4" ht="12" customHeight="1">
      <c r="A54" s="423" t="str">
        <f t="shared" si="2"/>
        <v>Ноябрь2017</v>
      </c>
      <c r="B54" s="412">
        <v>2017</v>
      </c>
      <c r="C54" s="403" t="s">
        <v>56</v>
      </c>
      <c r="D54" s="413">
        <v>836.9</v>
      </c>
    </row>
    <row r="55" spans="1:4" ht="12" customHeight="1">
      <c r="A55" s="423" t="str">
        <f t="shared" si="2"/>
        <v>Октябрь2017</v>
      </c>
      <c r="B55" s="412">
        <v>2017</v>
      </c>
      <c r="C55" s="403" t="s">
        <v>55</v>
      </c>
      <c r="D55" s="413">
        <v>841</v>
      </c>
    </row>
    <row r="56" spans="1:4" ht="12" customHeight="1">
      <c r="A56" s="423" t="str">
        <f t="shared" si="2"/>
        <v>Сентябрь2017</v>
      </c>
      <c r="B56" s="412">
        <v>2017</v>
      </c>
      <c r="C56" s="403" t="s">
        <v>54</v>
      </c>
      <c r="D56" s="413">
        <v>831.3</v>
      </c>
    </row>
    <row r="57" spans="1:4" ht="12" customHeight="1">
      <c r="A57" s="423" t="str">
        <f t="shared" si="2"/>
        <v>Август2017</v>
      </c>
      <c r="B57" s="412">
        <v>2017</v>
      </c>
      <c r="C57" s="403" t="s">
        <v>53</v>
      </c>
      <c r="D57" s="413">
        <v>844.4</v>
      </c>
    </row>
    <row r="58" spans="1:4" ht="12" customHeight="1">
      <c r="A58" s="423" t="str">
        <f t="shared" si="2"/>
        <v>Июль2017</v>
      </c>
      <c r="B58" s="412">
        <v>2017</v>
      </c>
      <c r="C58" s="404" t="s">
        <v>52</v>
      </c>
      <c r="D58" s="413">
        <v>827.5</v>
      </c>
    </row>
    <row r="59" spans="1:5" ht="12" customHeight="1">
      <c r="A59" s="423" t="str">
        <f t="shared" si="2"/>
        <v>Июнь2017</v>
      </c>
      <c r="B59" s="412">
        <v>2017</v>
      </c>
      <c r="C59" s="404" t="s">
        <v>51</v>
      </c>
      <c r="D59" s="413">
        <v>819.3</v>
      </c>
      <c r="E59" s="329">
        <f>ROUND(7387447/10000,2)</f>
        <v>738.74</v>
      </c>
    </row>
    <row r="60" spans="1:5" ht="12" customHeight="1">
      <c r="A60" s="423" t="str">
        <f t="shared" si="2"/>
        <v>Май2017</v>
      </c>
      <c r="B60" s="412">
        <v>2017</v>
      </c>
      <c r="C60" s="404" t="s">
        <v>50</v>
      </c>
      <c r="D60" s="413">
        <v>795.2</v>
      </c>
      <c r="E60" s="329">
        <f>ROUND(7182850/10000,2)</f>
        <v>718.29</v>
      </c>
    </row>
    <row r="61" spans="1:5" ht="12" customHeight="1">
      <c r="A61" s="423" t="str">
        <f t="shared" si="2"/>
        <v>Апрель2017</v>
      </c>
      <c r="B61" s="412">
        <v>2017</v>
      </c>
      <c r="C61" s="405" t="s">
        <v>49</v>
      </c>
      <c r="D61" s="413">
        <v>776.7</v>
      </c>
      <c r="E61" s="329">
        <f>ROUND(7085990/10000,2)</f>
        <v>708.6</v>
      </c>
    </row>
    <row r="62" spans="1:5" ht="12" customHeight="1">
      <c r="A62" s="423" t="str">
        <f t="shared" si="2"/>
        <v>Март2017</v>
      </c>
      <c r="B62" s="412">
        <v>2017</v>
      </c>
      <c r="C62" s="404" t="s">
        <v>48</v>
      </c>
      <c r="D62" s="413">
        <v>770.6</v>
      </c>
      <c r="E62" s="329">
        <f>ROUND(7094521/10000,2)</f>
        <v>709.45</v>
      </c>
    </row>
    <row r="63" spans="1:5" ht="12" customHeight="1">
      <c r="A63" s="423" t="str">
        <f t="shared" si="2"/>
        <v>Февраль2017</v>
      </c>
      <c r="B63" s="412">
        <v>2017</v>
      </c>
      <c r="C63" s="405" t="s">
        <v>47</v>
      </c>
      <c r="D63" s="413">
        <v>716.5</v>
      </c>
      <c r="E63" s="329">
        <f>ROUND(6615737/10000,2)</f>
        <v>661.57</v>
      </c>
    </row>
    <row r="64" spans="1:5" ht="12" customHeight="1">
      <c r="A64" s="423" t="str">
        <f t="shared" si="2"/>
        <v>Январь2017</v>
      </c>
      <c r="B64" s="412">
        <v>2017</v>
      </c>
      <c r="C64" s="405" t="s">
        <v>45</v>
      </c>
      <c r="D64" s="413">
        <v>720.7</v>
      </c>
      <c r="E64" s="329">
        <f>ROUND(6551585/10000,2)</f>
        <v>655.16</v>
      </c>
    </row>
    <row r="65" spans="1:5" ht="12" customHeight="1">
      <c r="A65" s="423" t="str">
        <f t="shared" si="2"/>
        <v>Декабрь2016</v>
      </c>
      <c r="B65" s="412">
        <v>2016</v>
      </c>
      <c r="C65" s="403" t="s">
        <v>46</v>
      </c>
      <c r="D65" s="413">
        <v>801.6</v>
      </c>
      <c r="E65" s="329">
        <f>ROUND(7424092/10000,2)</f>
        <v>742.41</v>
      </c>
    </row>
    <row r="66" spans="1:5" ht="12" customHeight="1">
      <c r="A66" s="423" t="str">
        <f t="shared" si="2"/>
        <v>Ноябрь2016</v>
      </c>
      <c r="B66" s="412">
        <v>2016</v>
      </c>
      <c r="C66" s="403" t="s">
        <v>56</v>
      </c>
      <c r="D66" s="413">
        <v>717.6</v>
      </c>
      <c r="E66" s="329">
        <f>ROUND(6748775/10000,2)</f>
        <v>674.88</v>
      </c>
    </row>
    <row r="67" spans="1:5" ht="12" customHeight="1">
      <c r="A67" s="423" t="str">
        <f t="shared" si="2"/>
        <v>Октябрь2016</v>
      </c>
      <c r="B67" s="412">
        <v>2016</v>
      </c>
      <c r="C67" s="403" t="s">
        <v>55</v>
      </c>
      <c r="D67" s="413">
        <v>722.9</v>
      </c>
      <c r="E67" s="329">
        <f>ROUND(6837568/10000,2)</f>
        <v>683.76</v>
      </c>
    </row>
    <row r="68" spans="1:5" ht="12" customHeight="1">
      <c r="A68" s="423" t="str">
        <f t="shared" si="2"/>
        <v>Сентябрь2016</v>
      </c>
      <c r="B68" s="412">
        <v>2016</v>
      </c>
      <c r="C68" s="403" t="s">
        <v>54</v>
      </c>
      <c r="D68" s="413">
        <v>732.9</v>
      </c>
      <c r="E68" s="329">
        <f>ROUND(6862950/10000,2)</f>
        <v>686.3</v>
      </c>
    </row>
    <row r="69" spans="1:5" ht="12" customHeight="1">
      <c r="A69" s="423" t="str">
        <f t="shared" si="2"/>
        <v>Август2016</v>
      </c>
      <c r="B69" s="412">
        <v>2016</v>
      </c>
      <c r="C69" s="403" t="s">
        <v>53</v>
      </c>
      <c r="D69" s="413">
        <v>750.3</v>
      </c>
      <c r="E69" s="331">
        <f>ROUND(6970521/10000,2)</f>
        <v>697.05</v>
      </c>
    </row>
    <row r="70" spans="1:5" ht="12" customHeight="1">
      <c r="A70" s="423" t="str">
        <f t="shared" si="2"/>
        <v>Июль2016</v>
      </c>
      <c r="B70" s="412">
        <v>2016</v>
      </c>
      <c r="C70" s="404" t="s">
        <v>52</v>
      </c>
      <c r="D70" s="413">
        <v>745.8</v>
      </c>
      <c r="E70" s="329">
        <f>ROUND(7008649/10000,2)</f>
        <v>700.86</v>
      </c>
    </row>
    <row r="71" spans="1:5" ht="12" customHeight="1">
      <c r="A71" s="423" t="str">
        <f t="shared" si="2"/>
        <v>Июнь2016</v>
      </c>
      <c r="B71" s="412">
        <v>2016</v>
      </c>
      <c r="C71" s="404" t="s">
        <v>51</v>
      </c>
      <c r="D71" s="413">
        <v>738.74</v>
      </c>
      <c r="E71" s="329">
        <f>ROUND(6883744/10000,2)</f>
        <v>688.37</v>
      </c>
    </row>
    <row r="72" spans="1:5" ht="12" customHeight="1">
      <c r="A72" s="423" t="str">
        <f t="shared" si="2"/>
        <v>Май2016</v>
      </c>
      <c r="B72" s="412">
        <v>2016</v>
      </c>
      <c r="C72" s="404" t="s">
        <v>50</v>
      </c>
      <c r="D72" s="413">
        <v>718.29</v>
      </c>
      <c r="E72" s="329">
        <f>ROUND(6687564/10000,2)</f>
        <v>668.76</v>
      </c>
    </row>
    <row r="73" spans="1:5" ht="12" customHeight="1">
      <c r="A73" s="423" t="str">
        <f t="shared" si="2"/>
        <v>Апрель2016</v>
      </c>
      <c r="B73" s="412">
        <v>2016</v>
      </c>
      <c r="C73" s="405" t="s">
        <v>49</v>
      </c>
      <c r="D73" s="413">
        <v>708.6</v>
      </c>
      <c r="E73" s="329">
        <f>ROUND(6536111/10000,2)</f>
        <v>653.61</v>
      </c>
    </row>
    <row r="74" spans="1:5" ht="12" customHeight="1">
      <c r="A74" s="423" t="str">
        <f t="shared" si="2"/>
        <v>Март2016</v>
      </c>
      <c r="B74" s="412">
        <v>2016</v>
      </c>
      <c r="C74" s="404" t="s">
        <v>48</v>
      </c>
      <c r="D74" s="413">
        <v>709.45</v>
      </c>
      <c r="E74" s="329">
        <f>ROUND(6483703/10000,2)</f>
        <v>648.37</v>
      </c>
    </row>
    <row r="75" spans="1:5" ht="12" customHeight="1">
      <c r="A75" s="423" t="str">
        <f t="shared" si="2"/>
        <v>Февраль2016</v>
      </c>
      <c r="B75" s="412">
        <v>2016</v>
      </c>
      <c r="C75" s="405" t="s">
        <v>47</v>
      </c>
      <c r="D75" s="413">
        <v>661.57</v>
      </c>
      <c r="E75" s="329">
        <f>ROUND(6129105/10000,2)</f>
        <v>612.91</v>
      </c>
    </row>
    <row r="76" spans="1:5" ht="12" customHeight="1">
      <c r="A76" s="423" t="str">
        <f t="shared" si="2"/>
        <v>Январь2016</v>
      </c>
      <c r="B76" s="412">
        <v>2016</v>
      </c>
      <c r="C76" s="405" t="s">
        <v>45</v>
      </c>
      <c r="D76" s="413">
        <v>655.16</v>
      </c>
      <c r="E76" s="329">
        <f>ROUND(6023213/10000,2)</f>
        <v>602.32</v>
      </c>
    </row>
    <row r="77" spans="1:5" ht="12" customHeight="1">
      <c r="A77" s="423">
        <f t="shared" si="2"/>
      </c>
      <c r="B77" s="414"/>
      <c r="C77" s="405"/>
      <c r="D77" s="413"/>
      <c r="E77" s="378"/>
    </row>
    <row r="78" spans="2:4" ht="12" customHeight="1" hidden="1">
      <c r="B78" s="415"/>
      <c r="C78" s="568"/>
      <c r="D78" s="569"/>
    </row>
    <row r="79" spans="2:4" ht="12" customHeight="1" hidden="1">
      <c r="B79" s="415"/>
      <c r="C79" s="406"/>
      <c r="D79" s="383"/>
    </row>
    <row r="80" spans="2:4" ht="12" customHeight="1" hidden="1">
      <c r="B80" s="415"/>
      <c r="C80" s="406"/>
      <c r="D80" s="383"/>
    </row>
    <row r="81" spans="2:4" ht="1.5" customHeight="1">
      <c r="B81" s="415"/>
      <c r="C81" s="406"/>
      <c r="D81" s="383"/>
    </row>
    <row r="82" spans="2:8" ht="37.5" customHeight="1">
      <c r="B82" s="562" t="s">
        <v>246</v>
      </c>
      <c r="C82" s="563"/>
      <c r="D82" s="564"/>
      <c r="E82" s="379"/>
      <c r="F82" s="379"/>
      <c r="G82" s="379"/>
      <c r="H82" s="379"/>
    </row>
    <row r="83" spans="1:4" ht="10.5">
      <c r="A83" s="248"/>
      <c r="B83" s="415"/>
      <c r="C83" s="406"/>
      <c r="D83" s="383"/>
    </row>
    <row r="84" spans="2:8" ht="23.25" customHeight="1">
      <c r="B84" s="424" t="s">
        <v>59</v>
      </c>
      <c r="C84" s="425" t="s">
        <v>60</v>
      </c>
      <c r="D84" s="426" t="s">
        <v>61</v>
      </c>
      <c r="E84" s="249" t="s">
        <v>59</v>
      </c>
      <c r="F84" s="249" t="s">
        <v>60</v>
      </c>
      <c r="G84" s="249" t="s">
        <v>61</v>
      </c>
      <c r="H84" s="249" t="s">
        <v>62</v>
      </c>
    </row>
    <row r="85" spans="1:8" ht="12" customHeight="1">
      <c r="A85" s="423" t="str">
        <f>CONCATENATE(C85,B85)</f>
        <v>Декабрь2021</v>
      </c>
      <c r="B85" s="431">
        <v>2021</v>
      </c>
      <c r="C85" s="404" t="s">
        <v>46</v>
      </c>
      <c r="D85" s="413">
        <f aca="true" t="shared" si="3" ref="D85:D96">D86</f>
        <v>262.87</v>
      </c>
      <c r="E85" s="328"/>
      <c r="F85" s="332" t="s">
        <v>53</v>
      </c>
      <c r="G85" s="333">
        <f>D99</f>
        <v>256.1</v>
      </c>
      <c r="H85" s="333">
        <f aca="true" t="shared" si="4" ref="H85:H143">MAX(D85,G85)</f>
        <v>262.87</v>
      </c>
    </row>
    <row r="86" spans="1:8" ht="12" customHeight="1">
      <c r="A86" s="423" t="str">
        <f aca="true" t="shared" si="5" ref="A86:A144">CONCATENATE(C86,B86)</f>
        <v>Ноябрь2021</v>
      </c>
      <c r="B86" s="431">
        <v>2021</v>
      </c>
      <c r="C86" s="407" t="s">
        <v>56</v>
      </c>
      <c r="D86" s="413">
        <f t="shared" si="3"/>
        <v>262.87</v>
      </c>
      <c r="E86" s="328"/>
      <c r="F86" s="332"/>
      <c r="G86" s="333"/>
      <c r="H86" s="333"/>
    </row>
    <row r="87" spans="1:8" ht="12" customHeight="1">
      <c r="A87" s="423" t="str">
        <f t="shared" si="5"/>
        <v>Октябрь2021</v>
      </c>
      <c r="B87" s="431">
        <v>2021</v>
      </c>
      <c r="C87" s="407" t="s">
        <v>55</v>
      </c>
      <c r="D87" s="413">
        <f t="shared" si="3"/>
        <v>262.87</v>
      </c>
      <c r="E87" s="328"/>
      <c r="F87" s="332"/>
      <c r="G87" s="333"/>
      <c r="H87" s="333"/>
    </row>
    <row r="88" spans="1:8" ht="12" customHeight="1">
      <c r="A88" s="423" t="str">
        <f t="shared" si="5"/>
        <v>Сентябрь2021</v>
      </c>
      <c r="B88" s="431">
        <v>2021</v>
      </c>
      <c r="C88" s="408" t="s">
        <v>54</v>
      </c>
      <c r="D88" s="413">
        <f t="shared" si="3"/>
        <v>262.87</v>
      </c>
      <c r="E88" s="328"/>
      <c r="F88" s="332"/>
      <c r="G88" s="333"/>
      <c r="H88" s="333"/>
    </row>
    <row r="89" spans="1:8" ht="12" customHeight="1">
      <c r="A89" s="423" t="str">
        <f t="shared" si="5"/>
        <v>Август2021</v>
      </c>
      <c r="B89" s="431">
        <v>2021</v>
      </c>
      <c r="C89" s="408" t="s">
        <v>53</v>
      </c>
      <c r="D89" s="413">
        <f t="shared" si="3"/>
        <v>262.87</v>
      </c>
      <c r="E89" s="328"/>
      <c r="F89" s="332"/>
      <c r="G89" s="333"/>
      <c r="H89" s="333"/>
    </row>
    <row r="90" spans="1:8" ht="12" customHeight="1">
      <c r="A90" s="423" t="str">
        <f t="shared" si="5"/>
        <v>Июль2021</v>
      </c>
      <c r="B90" s="431">
        <v>2021</v>
      </c>
      <c r="C90" s="408" t="s">
        <v>52</v>
      </c>
      <c r="D90" s="413">
        <f t="shared" si="3"/>
        <v>262.87</v>
      </c>
      <c r="E90" s="328"/>
      <c r="F90" s="332"/>
      <c r="G90" s="333"/>
      <c r="H90" s="333"/>
    </row>
    <row r="91" spans="1:8" ht="12" customHeight="1">
      <c r="A91" s="423" t="str">
        <f t="shared" si="5"/>
        <v>Июнь2021</v>
      </c>
      <c r="B91" s="431">
        <v>2021</v>
      </c>
      <c r="C91" s="408" t="s">
        <v>51</v>
      </c>
      <c r="D91" s="413">
        <f t="shared" si="3"/>
        <v>262.87</v>
      </c>
      <c r="E91" s="328"/>
      <c r="F91" s="332"/>
      <c r="G91" s="333"/>
      <c r="H91" s="333"/>
    </row>
    <row r="92" spans="1:8" ht="12" customHeight="1">
      <c r="A92" s="423" t="str">
        <f t="shared" si="5"/>
        <v>Май2021</v>
      </c>
      <c r="B92" s="431">
        <v>2021</v>
      </c>
      <c r="C92" s="408" t="s">
        <v>50</v>
      </c>
      <c r="D92" s="413">
        <f t="shared" si="3"/>
        <v>262.87</v>
      </c>
      <c r="E92" s="328"/>
      <c r="F92" s="332"/>
      <c r="G92" s="333"/>
      <c r="H92" s="333"/>
    </row>
    <row r="93" spans="1:8" ht="12" customHeight="1">
      <c r="A93" s="423" t="str">
        <f t="shared" si="5"/>
        <v>Апрель2021</v>
      </c>
      <c r="B93" s="431">
        <v>2021</v>
      </c>
      <c r="C93" s="408" t="s">
        <v>49</v>
      </c>
      <c r="D93" s="413">
        <f t="shared" si="3"/>
        <v>262.87</v>
      </c>
      <c r="E93" s="328"/>
      <c r="F93" s="332"/>
      <c r="G93" s="333"/>
      <c r="H93" s="333"/>
    </row>
    <row r="94" spans="1:8" ht="12" customHeight="1">
      <c r="A94" s="423" t="str">
        <f t="shared" si="5"/>
        <v>Март2021</v>
      </c>
      <c r="B94" s="431">
        <v>2021</v>
      </c>
      <c r="C94" s="408" t="s">
        <v>48</v>
      </c>
      <c r="D94" s="413">
        <f t="shared" si="3"/>
        <v>262.87</v>
      </c>
      <c r="E94" s="328"/>
      <c r="F94" s="332"/>
      <c r="G94" s="333"/>
      <c r="H94" s="333"/>
    </row>
    <row r="95" spans="1:8" ht="12" customHeight="1">
      <c r="A95" s="423" t="str">
        <f t="shared" si="5"/>
        <v>Февраль2021</v>
      </c>
      <c r="B95" s="431">
        <v>2021</v>
      </c>
      <c r="C95" s="408" t="s">
        <v>47</v>
      </c>
      <c r="D95" s="413">
        <v>262.87</v>
      </c>
      <c r="E95" s="328"/>
      <c r="F95" s="332"/>
      <c r="G95" s="333"/>
      <c r="H95" s="333"/>
    </row>
    <row r="96" spans="1:8" ht="12" customHeight="1">
      <c r="A96" s="423" t="str">
        <f t="shared" si="5"/>
        <v>Январь2021</v>
      </c>
      <c r="B96" s="431">
        <v>2021</v>
      </c>
      <c r="C96" s="408" t="s">
        <v>45</v>
      </c>
      <c r="D96" s="413">
        <f t="shared" si="3"/>
        <v>258.11</v>
      </c>
      <c r="E96" s="328"/>
      <c r="F96" s="332"/>
      <c r="G96" s="333"/>
      <c r="H96" s="333"/>
    </row>
    <row r="97" spans="1:8" ht="12" customHeight="1">
      <c r="A97" s="423" t="str">
        <f t="shared" si="5"/>
        <v>Декабрь2020</v>
      </c>
      <c r="B97" s="431">
        <v>2020</v>
      </c>
      <c r="C97" s="404" t="s">
        <v>46</v>
      </c>
      <c r="D97" s="413">
        <f aca="true" t="shared" si="6" ref="D97:D124">D98</f>
        <v>258.11</v>
      </c>
      <c r="E97" s="328"/>
      <c r="F97" s="332" t="s">
        <v>52</v>
      </c>
      <c r="G97" s="333">
        <f aca="true" t="shared" si="7" ref="G97:G132">D100</f>
        <v>256.1</v>
      </c>
      <c r="H97" s="333">
        <f t="shared" si="4"/>
        <v>258.11</v>
      </c>
    </row>
    <row r="98" spans="1:8" ht="12" customHeight="1">
      <c r="A98" s="423" t="str">
        <f t="shared" si="5"/>
        <v>Ноябрь2020</v>
      </c>
      <c r="B98" s="431">
        <v>2020</v>
      </c>
      <c r="C98" s="407" t="s">
        <v>56</v>
      </c>
      <c r="D98" s="413">
        <v>258.11</v>
      </c>
      <c r="E98" s="328"/>
      <c r="F98" s="332" t="s">
        <v>51</v>
      </c>
      <c r="G98" s="333">
        <f t="shared" si="7"/>
        <v>256.1</v>
      </c>
      <c r="H98" s="333">
        <f t="shared" si="4"/>
        <v>258.11</v>
      </c>
    </row>
    <row r="99" spans="1:8" ht="12" customHeight="1">
      <c r="A99" s="423" t="str">
        <f t="shared" si="5"/>
        <v>Октябрь2020</v>
      </c>
      <c r="B99" s="431">
        <v>2020</v>
      </c>
      <c r="C99" s="407" t="s">
        <v>55</v>
      </c>
      <c r="D99" s="413">
        <f t="shared" si="6"/>
        <v>256.1</v>
      </c>
      <c r="E99" s="328"/>
      <c r="F99" s="332" t="s">
        <v>50</v>
      </c>
      <c r="G99" s="333">
        <f t="shared" si="7"/>
        <v>246.78</v>
      </c>
      <c r="H99" s="333">
        <f t="shared" si="4"/>
        <v>256.1</v>
      </c>
    </row>
    <row r="100" spans="1:8" ht="12" customHeight="1">
      <c r="A100" s="423" t="str">
        <f t="shared" si="5"/>
        <v>Сентябрь2020</v>
      </c>
      <c r="B100" s="431">
        <v>2020</v>
      </c>
      <c r="C100" s="408" t="s">
        <v>54</v>
      </c>
      <c r="D100" s="413">
        <f t="shared" si="6"/>
        <v>256.1</v>
      </c>
      <c r="E100" s="328"/>
      <c r="F100" s="332" t="s">
        <v>49</v>
      </c>
      <c r="G100" s="333">
        <f t="shared" si="7"/>
        <v>246.78</v>
      </c>
      <c r="H100" s="333">
        <f t="shared" si="4"/>
        <v>256.1</v>
      </c>
    </row>
    <row r="101" spans="1:8" ht="12" customHeight="1">
      <c r="A101" s="423" t="str">
        <f t="shared" si="5"/>
        <v>Август2020</v>
      </c>
      <c r="B101" s="431">
        <v>2020</v>
      </c>
      <c r="C101" s="408" t="s">
        <v>53</v>
      </c>
      <c r="D101" s="413">
        <v>256.1</v>
      </c>
      <c r="E101" s="328"/>
      <c r="F101" s="332" t="s">
        <v>48</v>
      </c>
      <c r="G101" s="333">
        <f t="shared" si="7"/>
        <v>246.78</v>
      </c>
      <c r="H101" s="333">
        <f t="shared" si="4"/>
        <v>256.1</v>
      </c>
    </row>
    <row r="102" spans="1:8" ht="12" customHeight="1">
      <c r="A102" s="423" t="str">
        <f t="shared" si="5"/>
        <v>Июль2020</v>
      </c>
      <c r="B102" s="431">
        <v>2020</v>
      </c>
      <c r="C102" s="408" t="s">
        <v>52</v>
      </c>
      <c r="D102" s="413">
        <f t="shared" si="6"/>
        <v>246.78</v>
      </c>
      <c r="E102" s="328"/>
      <c r="F102" s="332" t="s">
        <v>47</v>
      </c>
      <c r="G102" s="333">
        <f t="shared" si="7"/>
        <v>239.87</v>
      </c>
      <c r="H102" s="333">
        <f t="shared" si="4"/>
        <v>246.78</v>
      </c>
    </row>
    <row r="103" spans="1:8" ht="12" customHeight="1">
      <c r="A103" s="423" t="str">
        <f t="shared" si="5"/>
        <v>Июнь2020</v>
      </c>
      <c r="B103" s="431">
        <v>2020</v>
      </c>
      <c r="C103" s="408" t="s">
        <v>51</v>
      </c>
      <c r="D103" s="413">
        <f t="shared" si="6"/>
        <v>246.78</v>
      </c>
      <c r="E103" s="328"/>
      <c r="F103" s="332" t="s">
        <v>45</v>
      </c>
      <c r="G103" s="333">
        <f t="shared" si="7"/>
        <v>239.87</v>
      </c>
      <c r="H103" s="333">
        <f t="shared" si="4"/>
        <v>246.78</v>
      </c>
    </row>
    <row r="104" spans="1:8" ht="12" customHeight="1">
      <c r="A104" s="423" t="str">
        <f t="shared" si="5"/>
        <v>Май2020</v>
      </c>
      <c r="B104" s="431">
        <v>2020</v>
      </c>
      <c r="C104" s="408" t="s">
        <v>50</v>
      </c>
      <c r="D104" s="413">
        <v>246.78</v>
      </c>
      <c r="E104" s="334">
        <v>2018</v>
      </c>
      <c r="F104" s="330" t="s">
        <v>46</v>
      </c>
      <c r="G104" s="333">
        <f t="shared" si="7"/>
        <v>239.87</v>
      </c>
      <c r="H104" s="333">
        <f t="shared" si="4"/>
        <v>246.78</v>
      </c>
    </row>
    <row r="105" spans="1:8" ht="12" customHeight="1">
      <c r="A105" s="423" t="str">
        <f t="shared" si="5"/>
        <v>Апрель2020</v>
      </c>
      <c r="B105" s="431">
        <v>2020</v>
      </c>
      <c r="C105" s="408" t="s">
        <v>49</v>
      </c>
      <c r="D105" s="413">
        <f t="shared" si="6"/>
        <v>239.87</v>
      </c>
      <c r="E105" s="334">
        <v>2018</v>
      </c>
      <c r="F105" s="330" t="s">
        <v>56</v>
      </c>
      <c r="G105" s="333">
        <f t="shared" si="7"/>
        <v>231.83</v>
      </c>
      <c r="H105" s="333">
        <f t="shared" si="4"/>
        <v>239.87</v>
      </c>
    </row>
    <row r="106" spans="1:8" ht="12" customHeight="1">
      <c r="A106" s="423" t="str">
        <f t="shared" si="5"/>
        <v>Март2020</v>
      </c>
      <c r="B106" s="431">
        <v>2020</v>
      </c>
      <c r="C106" s="408" t="s">
        <v>48</v>
      </c>
      <c r="D106" s="413">
        <f t="shared" si="6"/>
        <v>239.87</v>
      </c>
      <c r="E106" s="334">
        <v>2018</v>
      </c>
      <c r="F106" s="330" t="s">
        <v>55</v>
      </c>
      <c r="G106" s="333">
        <f t="shared" si="7"/>
        <v>231.83</v>
      </c>
      <c r="H106" s="333">
        <f t="shared" si="4"/>
        <v>239.87</v>
      </c>
    </row>
    <row r="107" spans="1:8" ht="12" customHeight="1">
      <c r="A107" s="423" t="str">
        <f t="shared" si="5"/>
        <v>Февраль2020</v>
      </c>
      <c r="B107" s="431">
        <v>2020</v>
      </c>
      <c r="C107" s="408" t="s">
        <v>47</v>
      </c>
      <c r="D107" s="413">
        <v>239.87</v>
      </c>
      <c r="E107" s="334">
        <v>2018</v>
      </c>
      <c r="F107" s="332" t="s">
        <v>54</v>
      </c>
      <c r="G107" s="333">
        <f t="shared" si="7"/>
        <v>231.83</v>
      </c>
      <c r="H107" s="333">
        <f t="shared" si="4"/>
        <v>239.87</v>
      </c>
    </row>
    <row r="108" spans="1:8" ht="12" customHeight="1">
      <c r="A108" s="423" t="str">
        <f t="shared" si="5"/>
        <v>Январь2020</v>
      </c>
      <c r="B108" s="431">
        <v>2020</v>
      </c>
      <c r="C108" s="408" t="s">
        <v>45</v>
      </c>
      <c r="D108" s="413">
        <f t="shared" si="6"/>
        <v>231.83</v>
      </c>
      <c r="E108" s="334">
        <v>2018</v>
      </c>
      <c r="F108" s="332" t="s">
        <v>53</v>
      </c>
      <c r="G108" s="333">
        <f t="shared" si="7"/>
        <v>230.91</v>
      </c>
      <c r="H108" s="333">
        <f t="shared" si="4"/>
        <v>231.83</v>
      </c>
    </row>
    <row r="109" spans="1:8" ht="12" customHeight="1">
      <c r="A109" s="423" t="str">
        <f t="shared" si="5"/>
        <v>Декабрь2019</v>
      </c>
      <c r="B109" s="412">
        <v>2019</v>
      </c>
      <c r="C109" s="404" t="s">
        <v>46</v>
      </c>
      <c r="D109" s="413">
        <f t="shared" si="6"/>
        <v>231.83</v>
      </c>
      <c r="E109" s="334">
        <v>2018</v>
      </c>
      <c r="F109" s="332" t="s">
        <v>52</v>
      </c>
      <c r="G109" s="333">
        <f t="shared" si="7"/>
        <v>230.91</v>
      </c>
      <c r="H109" s="333">
        <f t="shared" si="4"/>
        <v>231.83</v>
      </c>
    </row>
    <row r="110" spans="1:8" ht="12" customHeight="1">
      <c r="A110" s="423" t="str">
        <f t="shared" si="5"/>
        <v>Ноябрь2019</v>
      </c>
      <c r="B110" s="412">
        <v>2019</v>
      </c>
      <c r="C110" s="403" t="s">
        <v>56</v>
      </c>
      <c r="D110" s="413">
        <v>231.83</v>
      </c>
      <c r="E110" s="334">
        <v>2018</v>
      </c>
      <c r="F110" s="332" t="s">
        <v>51</v>
      </c>
      <c r="G110" s="333">
        <f t="shared" si="7"/>
        <v>230.91</v>
      </c>
      <c r="H110" s="333">
        <f t="shared" si="4"/>
        <v>231.83</v>
      </c>
    </row>
    <row r="111" spans="1:8" ht="12" customHeight="1">
      <c r="A111" s="423" t="str">
        <f t="shared" si="5"/>
        <v>Октябрь2019</v>
      </c>
      <c r="B111" s="412">
        <v>2019</v>
      </c>
      <c r="C111" s="403" t="s">
        <v>55</v>
      </c>
      <c r="D111" s="413">
        <f t="shared" si="6"/>
        <v>230.91</v>
      </c>
      <c r="E111" s="334">
        <v>2018</v>
      </c>
      <c r="F111" s="332" t="s">
        <v>50</v>
      </c>
      <c r="G111" s="333">
        <f t="shared" si="7"/>
        <v>224.02</v>
      </c>
      <c r="H111" s="333">
        <f t="shared" si="4"/>
        <v>230.91</v>
      </c>
    </row>
    <row r="112" spans="1:8" ht="12" customHeight="1">
      <c r="A112" s="423" t="str">
        <f t="shared" si="5"/>
        <v>Сентябрь2019</v>
      </c>
      <c r="B112" s="412">
        <v>2019</v>
      </c>
      <c r="C112" s="403" t="s">
        <v>54</v>
      </c>
      <c r="D112" s="413">
        <f t="shared" si="6"/>
        <v>230.91</v>
      </c>
      <c r="E112" s="334">
        <v>2018</v>
      </c>
      <c r="F112" s="332" t="s">
        <v>49</v>
      </c>
      <c r="G112" s="333">
        <f t="shared" si="7"/>
        <v>224.02</v>
      </c>
      <c r="H112" s="333">
        <f t="shared" si="4"/>
        <v>230.91</v>
      </c>
    </row>
    <row r="113" spans="1:8" ht="12" customHeight="1">
      <c r="A113" s="423" t="str">
        <f t="shared" si="5"/>
        <v>Август2019</v>
      </c>
      <c r="B113" s="412">
        <v>2019</v>
      </c>
      <c r="C113" s="403" t="s">
        <v>53</v>
      </c>
      <c r="D113" s="413">
        <v>230.91</v>
      </c>
      <c r="E113" s="334">
        <v>2018</v>
      </c>
      <c r="F113" s="332" t="s">
        <v>48</v>
      </c>
      <c r="G113" s="333">
        <f t="shared" si="7"/>
        <v>224.02</v>
      </c>
      <c r="H113" s="333">
        <f t="shared" si="4"/>
        <v>230.91</v>
      </c>
    </row>
    <row r="114" spans="1:8" ht="12" customHeight="1">
      <c r="A114" s="423" t="str">
        <f t="shared" si="5"/>
        <v>Июль2019</v>
      </c>
      <c r="B114" s="412">
        <v>2019</v>
      </c>
      <c r="C114" s="404" t="s">
        <v>52</v>
      </c>
      <c r="D114" s="413">
        <f t="shared" si="6"/>
        <v>224.02</v>
      </c>
      <c r="E114" s="334">
        <v>2018</v>
      </c>
      <c r="F114" s="332" t="s">
        <v>47</v>
      </c>
      <c r="G114" s="333">
        <f t="shared" si="7"/>
        <v>216.9</v>
      </c>
      <c r="H114" s="333">
        <f t="shared" si="4"/>
        <v>224.02</v>
      </c>
    </row>
    <row r="115" spans="1:8" ht="12" customHeight="1">
      <c r="A115" s="423" t="str">
        <f t="shared" si="5"/>
        <v>Июнь2019</v>
      </c>
      <c r="B115" s="412">
        <v>2019</v>
      </c>
      <c r="C115" s="404" t="s">
        <v>51</v>
      </c>
      <c r="D115" s="413">
        <f t="shared" si="6"/>
        <v>224.02</v>
      </c>
      <c r="E115" s="334">
        <v>2018</v>
      </c>
      <c r="F115" s="332" t="s">
        <v>45</v>
      </c>
      <c r="G115" s="333">
        <f t="shared" si="7"/>
        <v>216.9</v>
      </c>
      <c r="H115" s="333">
        <f t="shared" si="4"/>
        <v>224.02</v>
      </c>
    </row>
    <row r="116" spans="1:8" ht="12" customHeight="1">
      <c r="A116" s="423" t="str">
        <f t="shared" si="5"/>
        <v>Май2019</v>
      </c>
      <c r="B116" s="412">
        <v>2019</v>
      </c>
      <c r="C116" s="404" t="s">
        <v>50</v>
      </c>
      <c r="D116" s="413">
        <v>224.02</v>
      </c>
      <c r="E116" s="334">
        <v>2017</v>
      </c>
      <c r="F116" s="330" t="s">
        <v>46</v>
      </c>
      <c r="G116" s="333">
        <f t="shared" si="7"/>
        <v>216.9</v>
      </c>
      <c r="H116" s="333">
        <f t="shared" si="4"/>
        <v>224.02</v>
      </c>
    </row>
    <row r="117" spans="1:8" ht="12" customHeight="1">
      <c r="A117" s="423" t="str">
        <f t="shared" si="5"/>
        <v>Апрель2019</v>
      </c>
      <c r="B117" s="412">
        <v>2019</v>
      </c>
      <c r="C117" s="405" t="s">
        <v>49</v>
      </c>
      <c r="D117" s="413">
        <f t="shared" si="6"/>
        <v>216.9</v>
      </c>
      <c r="E117" s="334">
        <v>2017</v>
      </c>
      <c r="F117" s="330" t="s">
        <v>56</v>
      </c>
      <c r="G117" s="333">
        <f>D120</f>
        <v>214.21</v>
      </c>
      <c r="H117" s="333">
        <f t="shared" si="4"/>
        <v>216.9</v>
      </c>
    </row>
    <row r="118" spans="1:8" ht="12" customHeight="1">
      <c r="A118" s="423" t="str">
        <f t="shared" si="5"/>
        <v>Март2019</v>
      </c>
      <c r="B118" s="412">
        <v>2019</v>
      </c>
      <c r="C118" s="404" t="s">
        <v>48</v>
      </c>
      <c r="D118" s="413">
        <f t="shared" si="6"/>
        <v>216.9</v>
      </c>
      <c r="E118" s="334">
        <v>2017</v>
      </c>
      <c r="F118" s="330" t="s">
        <v>55</v>
      </c>
      <c r="G118" s="333">
        <f t="shared" si="7"/>
        <v>214.21</v>
      </c>
      <c r="H118" s="333">
        <f t="shared" si="4"/>
        <v>216.9</v>
      </c>
    </row>
    <row r="119" spans="1:8" ht="12" customHeight="1">
      <c r="A119" s="423" t="str">
        <f t="shared" si="5"/>
        <v>Февраль2019</v>
      </c>
      <c r="B119" s="412">
        <v>2019</v>
      </c>
      <c r="C119" s="405" t="s">
        <v>47</v>
      </c>
      <c r="D119" s="413">
        <v>216.9</v>
      </c>
      <c r="E119" s="334">
        <v>2017</v>
      </c>
      <c r="F119" s="332" t="s">
        <v>54</v>
      </c>
      <c r="G119" s="333">
        <f t="shared" si="7"/>
        <v>214.21</v>
      </c>
      <c r="H119" s="333">
        <f t="shared" si="4"/>
        <v>216.9</v>
      </c>
    </row>
    <row r="120" spans="1:8" ht="12" customHeight="1">
      <c r="A120" s="423" t="str">
        <f t="shared" si="5"/>
        <v>Январь2019</v>
      </c>
      <c r="B120" s="412">
        <v>2019</v>
      </c>
      <c r="C120" s="405" t="s">
        <v>45</v>
      </c>
      <c r="D120" s="413">
        <f t="shared" si="6"/>
        <v>214.21</v>
      </c>
      <c r="E120" s="334">
        <v>2017</v>
      </c>
      <c r="F120" s="332" t="s">
        <v>53</v>
      </c>
      <c r="G120" s="333">
        <f t="shared" si="7"/>
        <v>213.67</v>
      </c>
      <c r="H120" s="333">
        <f t="shared" si="4"/>
        <v>214.21</v>
      </c>
    </row>
    <row r="121" spans="1:8" ht="12" customHeight="1">
      <c r="A121" s="423" t="str">
        <f t="shared" si="5"/>
        <v>Декабрь2018</v>
      </c>
      <c r="B121" s="414">
        <v>2018</v>
      </c>
      <c r="C121" s="404" t="s">
        <v>46</v>
      </c>
      <c r="D121" s="413">
        <f t="shared" si="6"/>
        <v>214.21</v>
      </c>
      <c r="E121" s="334">
        <v>2017</v>
      </c>
      <c r="F121" s="332" t="s">
        <v>52</v>
      </c>
      <c r="G121" s="333">
        <f t="shared" si="7"/>
        <v>213.67</v>
      </c>
      <c r="H121" s="333">
        <f t="shared" si="4"/>
        <v>214.21</v>
      </c>
    </row>
    <row r="122" spans="1:8" ht="12" customHeight="1">
      <c r="A122" s="423" t="str">
        <f t="shared" si="5"/>
        <v>Ноябрь2018</v>
      </c>
      <c r="B122" s="414">
        <v>2018</v>
      </c>
      <c r="C122" s="407" t="s">
        <v>56</v>
      </c>
      <c r="D122" s="413">
        <v>214.21</v>
      </c>
      <c r="E122" s="334">
        <v>2017</v>
      </c>
      <c r="F122" s="332" t="s">
        <v>51</v>
      </c>
      <c r="G122" s="333">
        <f t="shared" si="7"/>
        <v>213.67</v>
      </c>
      <c r="H122" s="333">
        <f t="shared" si="4"/>
        <v>214.21</v>
      </c>
    </row>
    <row r="123" spans="1:8" ht="12" customHeight="1">
      <c r="A123" s="423" t="str">
        <f t="shared" si="5"/>
        <v>Октябрь2018</v>
      </c>
      <c r="B123" s="414">
        <v>2018</v>
      </c>
      <c r="C123" s="407" t="s">
        <v>55</v>
      </c>
      <c r="D123" s="413">
        <f t="shared" si="6"/>
        <v>213.67</v>
      </c>
      <c r="E123" s="334">
        <v>2017</v>
      </c>
      <c r="F123" s="332" t="s">
        <v>50</v>
      </c>
      <c r="G123" s="333">
        <f t="shared" si="7"/>
        <v>206.58</v>
      </c>
      <c r="H123" s="333">
        <f t="shared" si="4"/>
        <v>213.67</v>
      </c>
    </row>
    <row r="124" spans="1:8" ht="12" customHeight="1">
      <c r="A124" s="423" t="str">
        <f t="shared" si="5"/>
        <v>Сентябрь2018</v>
      </c>
      <c r="B124" s="414">
        <v>2018</v>
      </c>
      <c r="C124" s="408" t="s">
        <v>54</v>
      </c>
      <c r="D124" s="413">
        <f t="shared" si="6"/>
        <v>213.67</v>
      </c>
      <c r="E124" s="334">
        <v>2017</v>
      </c>
      <c r="F124" s="332" t="s">
        <v>49</v>
      </c>
      <c r="G124" s="333">
        <f t="shared" si="7"/>
        <v>206.58</v>
      </c>
      <c r="H124" s="333">
        <f t="shared" si="4"/>
        <v>213.67</v>
      </c>
    </row>
    <row r="125" spans="1:8" ht="12" customHeight="1">
      <c r="A125" s="423" t="str">
        <f t="shared" si="5"/>
        <v>Август2018</v>
      </c>
      <c r="B125" s="414">
        <v>2018</v>
      </c>
      <c r="C125" s="408" t="s">
        <v>53</v>
      </c>
      <c r="D125" s="413">
        <v>213.67</v>
      </c>
      <c r="E125" s="334">
        <v>2017</v>
      </c>
      <c r="F125" s="332" t="s">
        <v>48</v>
      </c>
      <c r="G125" s="333">
        <f t="shared" si="7"/>
        <v>206.58</v>
      </c>
      <c r="H125" s="333">
        <f t="shared" si="4"/>
        <v>213.67</v>
      </c>
    </row>
    <row r="126" spans="1:8" ht="12" customHeight="1">
      <c r="A126" s="423" t="str">
        <f t="shared" si="5"/>
        <v>Июль2018</v>
      </c>
      <c r="B126" s="414">
        <v>2018</v>
      </c>
      <c r="C126" s="408" t="s">
        <v>52</v>
      </c>
      <c r="D126" s="413">
        <f>D127</f>
        <v>206.58</v>
      </c>
      <c r="E126" s="334">
        <v>2017</v>
      </c>
      <c r="F126" s="332" t="s">
        <v>47</v>
      </c>
      <c r="G126" s="333">
        <f t="shared" si="7"/>
        <v>199.32</v>
      </c>
      <c r="H126" s="333">
        <f t="shared" si="4"/>
        <v>206.58</v>
      </c>
    </row>
    <row r="127" spans="1:8" ht="12" customHeight="1">
      <c r="A127" s="423" t="str">
        <f t="shared" si="5"/>
        <v>Июнь2018</v>
      </c>
      <c r="B127" s="414">
        <v>2018</v>
      </c>
      <c r="C127" s="408" t="s">
        <v>51</v>
      </c>
      <c r="D127" s="413">
        <f>D128</f>
        <v>206.58</v>
      </c>
      <c r="E127" s="334">
        <v>2017</v>
      </c>
      <c r="F127" s="332" t="s">
        <v>45</v>
      </c>
      <c r="G127" s="333">
        <f t="shared" si="7"/>
        <v>199.32</v>
      </c>
      <c r="H127" s="333">
        <f t="shared" si="4"/>
        <v>206.58</v>
      </c>
    </row>
    <row r="128" spans="1:8" ht="12" customHeight="1">
      <c r="A128" s="423" t="str">
        <f t="shared" si="5"/>
        <v>Май2018</v>
      </c>
      <c r="B128" s="414">
        <v>2018</v>
      </c>
      <c r="C128" s="408" t="s">
        <v>50</v>
      </c>
      <c r="D128" s="413">
        <v>206.58</v>
      </c>
      <c r="E128" s="334">
        <v>2016</v>
      </c>
      <c r="F128" s="332" t="s">
        <v>46</v>
      </c>
      <c r="G128" s="333">
        <f t="shared" si="7"/>
        <v>199.32</v>
      </c>
      <c r="H128" s="333">
        <f t="shared" si="4"/>
        <v>206.58</v>
      </c>
    </row>
    <row r="129" spans="1:8" ht="12" customHeight="1">
      <c r="A129" s="423" t="str">
        <f t="shared" si="5"/>
        <v>Апрель2018</v>
      </c>
      <c r="B129" s="414">
        <v>2018</v>
      </c>
      <c r="C129" s="408" t="s">
        <v>49</v>
      </c>
      <c r="D129" s="413">
        <f>D130</f>
        <v>199.32</v>
      </c>
      <c r="E129" s="334">
        <v>2016</v>
      </c>
      <c r="F129" s="332" t="s">
        <v>56</v>
      </c>
      <c r="G129" s="333">
        <f t="shared" si="7"/>
        <v>197.81</v>
      </c>
      <c r="H129" s="333">
        <f t="shared" si="4"/>
        <v>199.32</v>
      </c>
    </row>
    <row r="130" spans="1:8" ht="12" customHeight="1">
      <c r="A130" s="423" t="str">
        <f t="shared" si="5"/>
        <v>Март2018</v>
      </c>
      <c r="B130" s="414">
        <v>2018</v>
      </c>
      <c r="C130" s="408" t="s">
        <v>48</v>
      </c>
      <c r="D130" s="413">
        <f>D131</f>
        <v>199.32</v>
      </c>
      <c r="E130" s="334">
        <v>2016</v>
      </c>
      <c r="F130" s="332" t="s">
        <v>55</v>
      </c>
      <c r="G130" s="333">
        <f t="shared" si="7"/>
        <v>197.81</v>
      </c>
      <c r="H130" s="333">
        <f t="shared" si="4"/>
        <v>199.32</v>
      </c>
    </row>
    <row r="131" spans="1:8" ht="12" customHeight="1">
      <c r="A131" s="423" t="str">
        <f t="shared" si="5"/>
        <v>Февраль2018</v>
      </c>
      <c r="B131" s="414">
        <v>2018</v>
      </c>
      <c r="C131" s="408" t="s">
        <v>47</v>
      </c>
      <c r="D131" s="413">
        <v>199.32</v>
      </c>
      <c r="E131" s="334">
        <v>2016</v>
      </c>
      <c r="F131" s="332" t="s">
        <v>54</v>
      </c>
      <c r="G131" s="333">
        <f t="shared" si="7"/>
        <v>197.81</v>
      </c>
      <c r="H131" s="333">
        <f t="shared" si="4"/>
        <v>199.32</v>
      </c>
    </row>
    <row r="132" spans="1:8" ht="12" customHeight="1">
      <c r="A132" s="423" t="str">
        <f t="shared" si="5"/>
        <v>Январь2018</v>
      </c>
      <c r="B132" s="414">
        <v>2018</v>
      </c>
      <c r="C132" s="408" t="s">
        <v>45</v>
      </c>
      <c r="D132" s="413">
        <f>D133</f>
        <v>197.81</v>
      </c>
      <c r="E132" s="334">
        <v>2016</v>
      </c>
      <c r="F132" s="332" t="s">
        <v>53</v>
      </c>
      <c r="G132" s="333">
        <f t="shared" si="7"/>
        <v>197.57</v>
      </c>
      <c r="H132" s="333">
        <f t="shared" si="4"/>
        <v>197.81</v>
      </c>
    </row>
    <row r="133" spans="1:8" ht="12" customHeight="1">
      <c r="A133" s="423" t="str">
        <f t="shared" si="5"/>
        <v>Декабрь2017</v>
      </c>
      <c r="B133" s="414">
        <v>2017</v>
      </c>
      <c r="C133" s="408" t="s">
        <v>46</v>
      </c>
      <c r="D133" s="413">
        <f>D134</f>
        <v>197.81</v>
      </c>
      <c r="E133" s="334">
        <v>2016</v>
      </c>
      <c r="F133" s="332" t="s">
        <v>52</v>
      </c>
      <c r="G133" s="333">
        <f>D136</f>
        <v>197.57</v>
      </c>
      <c r="H133" s="333">
        <f>MAX(D133,G133)</f>
        <v>197.81</v>
      </c>
    </row>
    <row r="134" spans="1:8" ht="12" customHeight="1">
      <c r="A134" s="423" t="str">
        <f t="shared" si="5"/>
        <v>Ноябрь2017</v>
      </c>
      <c r="B134" s="414">
        <v>2017</v>
      </c>
      <c r="C134" s="408" t="s">
        <v>56</v>
      </c>
      <c r="D134" s="413">
        <v>197.81</v>
      </c>
      <c r="E134" s="334">
        <v>2016</v>
      </c>
      <c r="F134" s="332" t="s">
        <v>51</v>
      </c>
      <c r="G134" s="333">
        <f>D137</f>
        <v>197.57</v>
      </c>
      <c r="H134" s="333">
        <f t="shared" si="4"/>
        <v>197.81</v>
      </c>
    </row>
    <row r="135" spans="1:8" ht="12" customHeight="1">
      <c r="A135" s="423" t="str">
        <f t="shared" si="5"/>
        <v>Октябрь2017</v>
      </c>
      <c r="B135" s="414">
        <v>2017</v>
      </c>
      <c r="C135" s="408" t="s">
        <v>55</v>
      </c>
      <c r="D135" s="413">
        <f>D136</f>
        <v>197.57</v>
      </c>
      <c r="E135" s="334">
        <v>2016</v>
      </c>
      <c r="F135" s="332" t="s">
        <v>50</v>
      </c>
      <c r="G135" s="333">
        <f aca="true" t="shared" si="8" ref="G135:G140">D138</f>
        <v>183.82</v>
      </c>
      <c r="H135" s="333">
        <f t="shared" si="4"/>
        <v>197.57</v>
      </c>
    </row>
    <row r="136" spans="1:8" ht="12" customHeight="1">
      <c r="A136" s="423" t="str">
        <f t="shared" si="5"/>
        <v>Сентябрь2017</v>
      </c>
      <c r="B136" s="414">
        <v>2017</v>
      </c>
      <c r="C136" s="408" t="s">
        <v>54</v>
      </c>
      <c r="D136" s="413">
        <f>D137</f>
        <v>197.57</v>
      </c>
      <c r="E136" s="334">
        <v>2016</v>
      </c>
      <c r="F136" s="332" t="s">
        <v>49</v>
      </c>
      <c r="G136" s="333">
        <f t="shared" si="8"/>
        <v>183.82</v>
      </c>
      <c r="H136" s="333">
        <f t="shared" si="4"/>
        <v>197.57</v>
      </c>
    </row>
    <row r="137" spans="1:8" ht="12" customHeight="1">
      <c r="A137" s="423" t="str">
        <f t="shared" si="5"/>
        <v>Август2017</v>
      </c>
      <c r="B137" s="414">
        <v>2017</v>
      </c>
      <c r="C137" s="408" t="s">
        <v>53</v>
      </c>
      <c r="D137" s="413">
        <v>197.57</v>
      </c>
      <c r="E137" s="334">
        <v>2016</v>
      </c>
      <c r="F137" s="332" t="s">
        <v>48</v>
      </c>
      <c r="G137" s="333">
        <f t="shared" si="8"/>
        <v>183.82</v>
      </c>
      <c r="H137" s="333">
        <f t="shared" si="4"/>
        <v>197.57</v>
      </c>
    </row>
    <row r="138" spans="1:8" ht="12" customHeight="1">
      <c r="A138" s="423" t="str">
        <f t="shared" si="5"/>
        <v>Июль2017</v>
      </c>
      <c r="B138" s="414">
        <v>2017</v>
      </c>
      <c r="C138" s="408" t="s">
        <v>52</v>
      </c>
      <c r="D138" s="413">
        <f>D139</f>
        <v>183.82</v>
      </c>
      <c r="E138" s="334">
        <v>2016</v>
      </c>
      <c r="F138" s="332" t="s">
        <v>47</v>
      </c>
      <c r="G138" s="333">
        <f t="shared" si="8"/>
        <v>180.1</v>
      </c>
      <c r="H138" s="333">
        <f t="shared" si="4"/>
        <v>183.82</v>
      </c>
    </row>
    <row r="139" spans="1:8" ht="12" customHeight="1">
      <c r="A139" s="423" t="str">
        <f t="shared" si="5"/>
        <v>Июнь2017</v>
      </c>
      <c r="B139" s="414">
        <v>2017</v>
      </c>
      <c r="C139" s="408" t="s">
        <v>51</v>
      </c>
      <c r="D139" s="413">
        <f>D140</f>
        <v>183.82</v>
      </c>
      <c r="E139" s="334">
        <v>2016</v>
      </c>
      <c r="F139" s="332" t="s">
        <v>45</v>
      </c>
      <c r="G139" s="333">
        <f t="shared" si="8"/>
        <v>180.1</v>
      </c>
      <c r="H139" s="333">
        <f t="shared" si="4"/>
        <v>183.82</v>
      </c>
    </row>
    <row r="140" spans="1:8" ht="12" customHeight="1">
      <c r="A140" s="423" t="str">
        <f t="shared" si="5"/>
        <v>Май2017</v>
      </c>
      <c r="B140" s="414">
        <v>2017</v>
      </c>
      <c r="C140" s="408" t="s">
        <v>50</v>
      </c>
      <c r="D140" s="413">
        <v>183.82</v>
      </c>
      <c r="E140" s="334">
        <v>2016</v>
      </c>
      <c r="F140" s="332" t="s">
        <v>46</v>
      </c>
      <c r="G140" s="333">
        <f t="shared" si="8"/>
        <v>180.1</v>
      </c>
      <c r="H140" s="333">
        <f t="shared" si="4"/>
        <v>183.82</v>
      </c>
    </row>
    <row r="141" spans="1:8" ht="12" customHeight="1">
      <c r="A141" s="423" t="str">
        <f t="shared" si="5"/>
        <v>Апрель2017</v>
      </c>
      <c r="B141" s="414">
        <v>2017</v>
      </c>
      <c r="C141" s="408" t="s">
        <v>49</v>
      </c>
      <c r="D141" s="413">
        <f>D142</f>
        <v>180.1</v>
      </c>
      <c r="E141" s="334">
        <v>2016</v>
      </c>
      <c r="F141" s="332" t="s">
        <v>56</v>
      </c>
      <c r="G141" s="333">
        <v>139.6</v>
      </c>
      <c r="H141" s="333">
        <f t="shared" si="4"/>
        <v>180.1</v>
      </c>
    </row>
    <row r="142" spans="1:8" ht="12" customHeight="1">
      <c r="A142" s="423" t="str">
        <f t="shared" si="5"/>
        <v>Март2017</v>
      </c>
      <c r="B142" s="414">
        <v>2017</v>
      </c>
      <c r="C142" s="408" t="s">
        <v>48</v>
      </c>
      <c r="D142" s="413">
        <f>D143</f>
        <v>180.1</v>
      </c>
      <c r="E142" s="334">
        <v>2015</v>
      </c>
      <c r="F142" s="332" t="s">
        <v>55</v>
      </c>
      <c r="G142" s="333">
        <v>134.34</v>
      </c>
      <c r="H142" s="333">
        <f t="shared" si="4"/>
        <v>180.1</v>
      </c>
    </row>
    <row r="143" spans="1:8" ht="12" customHeight="1">
      <c r="A143" s="423" t="str">
        <f t="shared" si="5"/>
        <v>Февраль2017</v>
      </c>
      <c r="B143" s="414">
        <v>2017</v>
      </c>
      <c r="C143" s="408" t="s">
        <v>47</v>
      </c>
      <c r="D143" s="413">
        <v>180.1</v>
      </c>
      <c r="E143" s="334">
        <v>2015</v>
      </c>
      <c r="F143" s="332" t="s">
        <v>54</v>
      </c>
      <c r="G143" s="333">
        <v>134.34</v>
      </c>
      <c r="H143" s="333">
        <f t="shared" si="4"/>
        <v>180.1</v>
      </c>
    </row>
    <row r="144" spans="1:8" ht="12" customHeight="1">
      <c r="A144" s="423" t="str">
        <f t="shared" si="5"/>
        <v>Январь2017</v>
      </c>
      <c r="B144" s="414">
        <v>2017</v>
      </c>
      <c r="C144" s="408" t="s">
        <v>45</v>
      </c>
      <c r="D144" s="413">
        <v>174.52</v>
      </c>
      <c r="F144" s="380"/>
      <c r="G144" s="381"/>
      <c r="H144" s="382"/>
    </row>
    <row r="145" spans="2:4" ht="12" customHeight="1" hidden="1">
      <c r="B145" s="416"/>
      <c r="C145" s="417"/>
      <c r="D145" s="418"/>
    </row>
    <row r="146" spans="2:4" ht="12" customHeight="1" hidden="1">
      <c r="B146" s="416"/>
      <c r="C146" s="417"/>
      <c r="D146" s="418"/>
    </row>
    <row r="147" spans="2:4" ht="12" customHeight="1" thickBot="1">
      <c r="B147" s="419"/>
      <c r="C147" s="420"/>
      <c r="D147" s="421"/>
    </row>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sheetProtection/>
  <mergeCells count="3">
    <mergeCell ref="B82:D82"/>
    <mergeCell ref="B2:D2"/>
    <mergeCell ref="C78:D78"/>
  </mergeCell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9.xml><?xml version="1.0" encoding="utf-8"?>
<worksheet xmlns="http://schemas.openxmlformats.org/spreadsheetml/2006/main" xmlns:r="http://schemas.openxmlformats.org/officeDocument/2006/relationships">
  <dimension ref="A1:AM96"/>
  <sheetViews>
    <sheetView zoomScalePageLayoutView="0" workbookViewId="0" topLeftCell="A1">
      <selection activeCell="A1" sqref="A1:IV16384"/>
    </sheetView>
  </sheetViews>
  <sheetFormatPr defaultColWidth="7.875" defaultRowHeight="12.75"/>
  <cols>
    <col min="1" max="7" width="1.75390625" style="250" customWidth="1"/>
    <col min="8" max="8" width="1.75390625" style="264" customWidth="1"/>
    <col min="9" max="19" width="1.75390625" style="250" customWidth="1"/>
    <col min="20" max="16384" width="7.875" style="250" customWidth="1"/>
  </cols>
  <sheetData>
    <row r="1" spans="2:33" ht="15.75">
      <c r="B1" s="251"/>
      <c r="C1" s="251"/>
      <c r="D1" s="251"/>
      <c r="E1" s="252"/>
      <c r="H1" s="253"/>
      <c r="AF1" s="315">
        <v>2</v>
      </c>
      <c r="AG1" s="315">
        <v>1</v>
      </c>
    </row>
    <row r="2" spans="1:33" ht="15.75">
      <c r="A2" s="254"/>
      <c r="B2" s="255"/>
      <c r="E2" s="256"/>
      <c r="H2" s="257"/>
      <c r="I2" s="258"/>
      <c r="J2" s="257"/>
      <c r="K2" s="257"/>
      <c r="L2" s="257"/>
      <c r="M2" s="259"/>
      <c r="N2" s="570"/>
      <c r="O2" s="570"/>
      <c r="P2" s="258"/>
      <c r="Q2" s="260"/>
      <c r="R2" s="259"/>
      <c r="S2" s="257"/>
      <c r="AF2" s="315"/>
      <c r="AG2" s="315">
        <v>2</v>
      </c>
    </row>
    <row r="3" spans="1:19" ht="12.75">
      <c r="A3" s="254"/>
      <c r="B3" s="261"/>
      <c r="H3" s="257"/>
      <c r="I3" s="257"/>
      <c r="J3" s="257"/>
      <c r="K3" s="571"/>
      <c r="L3" s="571"/>
      <c r="M3" s="571"/>
      <c r="N3" s="262"/>
      <c r="O3" s="262"/>
      <c r="P3" s="257"/>
      <c r="Q3" s="260"/>
      <c r="R3" s="257"/>
      <c r="S3" s="257"/>
    </row>
    <row r="4" spans="1:2" ht="12.75">
      <c r="A4" s="263"/>
      <c r="B4" s="261"/>
    </row>
    <row r="5" spans="1:10" s="261" customFormat="1" ht="12.75">
      <c r="A5" s="263"/>
      <c r="C5" s="250"/>
      <c r="D5" s="250"/>
      <c r="E5" s="250"/>
      <c r="H5" s="265"/>
      <c r="I5" s="265"/>
      <c r="J5" s="265"/>
    </row>
    <row r="6" spans="4:10" ht="12.75" customHeight="1">
      <c r="D6" s="264"/>
      <c r="H6" s="265"/>
      <c r="I6" s="265"/>
      <c r="J6" s="265"/>
    </row>
    <row r="7" spans="18:39" s="317" customFormat="1" ht="13.5" customHeight="1">
      <c r="R7" s="318"/>
      <c r="S7" s="318"/>
      <c r="T7" s="318"/>
      <c r="U7" s="318"/>
      <c r="V7" s="318"/>
      <c r="W7" s="318"/>
      <c r="X7" s="318"/>
      <c r="Y7" s="318"/>
      <c r="Z7" s="318"/>
      <c r="AA7" s="318"/>
      <c r="AB7" s="318"/>
      <c r="AC7" s="318"/>
      <c r="AD7" s="318"/>
      <c r="AE7" s="318"/>
      <c r="AF7" s="318"/>
      <c r="AG7" s="319">
        <f>INT(AH7)</f>
        <v>134</v>
      </c>
      <c r="AH7" s="319">
        <f>'Пособие по временной нетрудосп.'!L118</f>
        <v>134.9</v>
      </c>
      <c r="AI7" s="318"/>
      <c r="AJ7" s="318"/>
      <c r="AK7" s="318"/>
      <c r="AL7" s="318"/>
      <c r="AM7" s="318"/>
    </row>
    <row r="8" spans="18:39" s="317" customFormat="1" ht="13.5" customHeight="1">
      <c r="R8" s="318"/>
      <c r="S8" s="318"/>
      <c r="T8" s="318"/>
      <c r="U8" s="318"/>
      <c r="V8" s="318"/>
      <c r="W8" s="318"/>
      <c r="X8" s="318"/>
      <c r="Y8" s="318"/>
      <c r="Z8" s="318"/>
      <c r="AA8" s="318"/>
      <c r="AB8" s="318"/>
      <c r="AC8" s="318"/>
      <c r="AD8" s="318"/>
      <c r="AE8" s="318"/>
      <c r="AF8" s="318">
        <v>1</v>
      </c>
      <c r="AG8" s="320">
        <f>AG7-INT(AG7/10)*10</f>
        <v>4</v>
      </c>
      <c r="AH8" s="319">
        <f>ROUND((AH7-AG7)*100,0)</f>
        <v>90</v>
      </c>
      <c r="AI8" s="318"/>
      <c r="AJ8" s="318"/>
      <c r="AK8" s="318"/>
      <c r="AL8" s="318"/>
      <c r="AM8" s="318"/>
    </row>
    <row r="9" spans="18:39" s="317" customFormat="1" ht="12" customHeight="1">
      <c r="R9" s="318"/>
      <c r="S9" s="318"/>
      <c r="T9" s="318"/>
      <c r="U9" s="318"/>
      <c r="V9" s="318"/>
      <c r="W9" s="318"/>
      <c r="X9" s="318"/>
      <c r="Y9" s="318"/>
      <c r="Z9" s="318"/>
      <c r="AA9" s="318"/>
      <c r="AB9" s="318"/>
      <c r="AC9" s="318"/>
      <c r="AD9" s="318"/>
      <c r="AE9" s="318"/>
      <c r="AF9" s="318">
        <v>2</v>
      </c>
      <c r="AG9" s="321">
        <f>IF(AND(AG8+AG10&gt;=11,AG8+AG10&lt;=19),AG8+AG10,0)</f>
        <v>0</v>
      </c>
      <c r="AH9" s="321">
        <f>INT(AH8)</f>
        <v>90</v>
      </c>
      <c r="AI9" s="318"/>
      <c r="AJ9" s="318"/>
      <c r="AK9" s="318"/>
      <c r="AL9" s="318"/>
      <c r="AM9" s="318"/>
    </row>
    <row r="10" spans="18:39" s="317" customFormat="1" ht="12" customHeight="1">
      <c r="R10" s="318"/>
      <c r="S10" s="318"/>
      <c r="T10" s="318"/>
      <c r="U10" s="318"/>
      <c r="V10" s="318"/>
      <c r="W10" s="318"/>
      <c r="X10" s="318"/>
      <c r="Y10" s="318"/>
      <c r="Z10" s="318"/>
      <c r="AA10" s="318"/>
      <c r="AB10" s="318"/>
      <c r="AC10" s="318"/>
      <c r="AD10" s="318"/>
      <c r="AE10" s="318"/>
      <c r="AF10" s="318">
        <v>3</v>
      </c>
      <c r="AG10" s="321">
        <f>AG7-INT(AG7/100)*100-AG8</f>
        <v>30</v>
      </c>
      <c r="AH10" s="321">
        <f>IF(AH9=0,"",AH9-INT(AH9/10)*10)</f>
        <v>0</v>
      </c>
      <c r="AI10" s="318"/>
      <c r="AJ10" s="318"/>
      <c r="AK10" s="318"/>
      <c r="AL10" s="318"/>
      <c r="AM10" s="318"/>
    </row>
    <row r="11" spans="18:39" s="317" customFormat="1" ht="12" customHeight="1">
      <c r="R11" s="318"/>
      <c r="S11" s="318"/>
      <c r="T11" s="318"/>
      <c r="U11" s="318"/>
      <c r="V11" s="318"/>
      <c r="W11" s="318"/>
      <c r="X11" s="318"/>
      <c r="Y11" s="318"/>
      <c r="Z11" s="318"/>
      <c r="AA11" s="318"/>
      <c r="AB11" s="318"/>
      <c r="AC11" s="318"/>
      <c r="AD11" s="318"/>
      <c r="AE11" s="318"/>
      <c r="AF11" s="318">
        <v>4</v>
      </c>
      <c r="AG11" s="321">
        <f>AG7-INT(AG7/1000)*1000-AG10-AG8</f>
        <v>100</v>
      </c>
      <c r="AH11" s="322">
        <f>IF(AH9=0,"",AH9)</f>
        <v>90</v>
      </c>
      <c r="AI11" s="318">
        <v>0</v>
      </c>
      <c r="AJ11" s="318" t="s">
        <v>282</v>
      </c>
      <c r="AK11" s="318"/>
      <c r="AL11" s="318"/>
      <c r="AM11" s="318"/>
    </row>
    <row r="12" spans="18:39" s="317" customFormat="1" ht="12" customHeight="1">
      <c r="R12" s="318"/>
      <c r="S12" s="318"/>
      <c r="T12" s="318"/>
      <c r="U12" s="318"/>
      <c r="V12" s="318"/>
      <c r="W12" s="318"/>
      <c r="X12" s="318"/>
      <c r="Y12" s="318"/>
      <c r="Z12" s="318"/>
      <c r="AA12" s="318"/>
      <c r="AB12" s="318"/>
      <c r="AC12" s="318"/>
      <c r="AD12" s="318"/>
      <c r="AE12" s="318"/>
      <c r="AF12" s="318">
        <v>5</v>
      </c>
      <c r="AG12" s="321">
        <f>AG7-INT(AG7/10000)*10000-AG10-AG8-AG11</f>
        <v>0</v>
      </c>
      <c r="AH12" s="318">
        <f>AG12/1000</f>
        <v>0</v>
      </c>
      <c r="AI12" s="318"/>
      <c r="AJ12" s="318"/>
      <c r="AK12" s="318"/>
      <c r="AL12" s="318"/>
      <c r="AM12" s="318"/>
    </row>
    <row r="13" spans="18:39" s="317" customFormat="1" ht="12" customHeight="1">
      <c r="R13" s="318"/>
      <c r="S13" s="318"/>
      <c r="T13" s="318"/>
      <c r="U13" s="318"/>
      <c r="V13" s="318"/>
      <c r="W13" s="318"/>
      <c r="X13" s="318"/>
      <c r="Y13" s="318"/>
      <c r="Z13" s="318"/>
      <c r="AA13" s="318"/>
      <c r="AB13" s="318"/>
      <c r="AC13" s="318"/>
      <c r="AD13" s="318"/>
      <c r="AE13" s="318"/>
      <c r="AF13" s="318">
        <v>6</v>
      </c>
      <c r="AG13" s="318"/>
      <c r="AH13" s="321">
        <f>IF(AND(AH12+AH14&gt;=11,AH12+AH14&lt;=19),AH12+AH14,0)</f>
        <v>0</v>
      </c>
      <c r="AI13" s="318"/>
      <c r="AJ13" s="318"/>
      <c r="AK13" s="318"/>
      <c r="AL13" s="318"/>
      <c r="AM13" s="318"/>
    </row>
    <row r="14" spans="18:39" s="317" customFormat="1" ht="12" customHeight="1">
      <c r="R14" s="318"/>
      <c r="S14" s="318"/>
      <c r="T14" s="318"/>
      <c r="U14" s="318"/>
      <c r="V14" s="318"/>
      <c r="W14" s="318"/>
      <c r="X14" s="318"/>
      <c r="Y14" s="318"/>
      <c r="Z14" s="318"/>
      <c r="AA14" s="318"/>
      <c r="AB14" s="318"/>
      <c r="AC14" s="318"/>
      <c r="AD14" s="318"/>
      <c r="AE14" s="318"/>
      <c r="AF14" s="318">
        <v>7</v>
      </c>
      <c r="AG14" s="321">
        <f>AG7-INT(AG7/100000)*100000-AG10-AG8-AG11-AG12</f>
        <v>0</v>
      </c>
      <c r="AH14" s="318">
        <f>AG14/1000</f>
        <v>0</v>
      </c>
      <c r="AI14" s="318"/>
      <c r="AJ14" s="318"/>
      <c r="AK14" s="318"/>
      <c r="AL14" s="318"/>
      <c r="AM14" s="318"/>
    </row>
    <row r="15" spans="18:39" s="317" customFormat="1" ht="12" customHeight="1">
      <c r="R15" s="318"/>
      <c r="S15" s="318"/>
      <c r="T15" s="318"/>
      <c r="U15" s="318"/>
      <c r="V15" s="318"/>
      <c r="W15" s="318"/>
      <c r="X15" s="318"/>
      <c r="Y15" s="318"/>
      <c r="Z15" s="318"/>
      <c r="AA15" s="318"/>
      <c r="AB15" s="318"/>
      <c r="AC15" s="318"/>
      <c r="AD15" s="318"/>
      <c r="AE15" s="318"/>
      <c r="AF15" s="318">
        <v>8</v>
      </c>
      <c r="AG15" s="321">
        <f>AG7-INT(AG7/1000000)*1000000-AG10-AG8-AG11-AG12-AG14</f>
        <v>0</v>
      </c>
      <c r="AH15" s="318">
        <f>AG15/1000</f>
        <v>0</v>
      </c>
      <c r="AI15" s="318"/>
      <c r="AJ15" s="318"/>
      <c r="AK15" s="318"/>
      <c r="AL15" s="318"/>
      <c r="AM15" s="318"/>
    </row>
    <row r="16" spans="18:39" s="317" customFormat="1" ht="12" customHeight="1">
      <c r="R16" s="318"/>
      <c r="S16" s="318"/>
      <c r="T16" s="318"/>
      <c r="U16" s="318"/>
      <c r="V16" s="318"/>
      <c r="W16" s="318"/>
      <c r="X16" s="318"/>
      <c r="Y16" s="318"/>
      <c r="Z16" s="318"/>
      <c r="AA16" s="318"/>
      <c r="AB16" s="318"/>
      <c r="AC16" s="318"/>
      <c r="AD16" s="318"/>
      <c r="AE16" s="318"/>
      <c r="AF16" s="318">
        <v>9</v>
      </c>
      <c r="AG16" s="321">
        <f>AG7-INT(AG7/10000000)*10000000-AG10-AG8-AG11-AG12-AG14-AG15</f>
        <v>0</v>
      </c>
      <c r="AH16" s="318">
        <f>AG16/1000000</f>
        <v>0</v>
      </c>
      <c r="AI16" s="318"/>
      <c r="AJ16" s="318"/>
      <c r="AK16" s="318"/>
      <c r="AL16" s="318"/>
      <c r="AM16" s="318"/>
    </row>
    <row r="17" spans="18:39" s="317" customFormat="1" ht="12" customHeight="1">
      <c r="R17" s="318"/>
      <c r="S17" s="318"/>
      <c r="T17" s="318"/>
      <c r="U17" s="318"/>
      <c r="V17" s="318"/>
      <c r="W17" s="318"/>
      <c r="X17" s="318"/>
      <c r="Y17" s="318"/>
      <c r="Z17" s="318"/>
      <c r="AA17" s="318"/>
      <c r="AB17" s="318"/>
      <c r="AC17" s="318"/>
      <c r="AD17" s="318"/>
      <c r="AE17" s="318"/>
      <c r="AF17" s="318">
        <v>10</v>
      </c>
      <c r="AG17" s="318"/>
      <c r="AH17" s="321">
        <f>IF(AND(AH16+AH18&gt;=11,AH16+AH18&lt;=19),AH16+AH18,0)</f>
        <v>0</v>
      </c>
      <c r="AI17" s="318"/>
      <c r="AJ17" s="318"/>
      <c r="AK17" s="318"/>
      <c r="AL17" s="318"/>
      <c r="AM17" s="318"/>
    </row>
    <row r="18" spans="18:39" s="317" customFormat="1" ht="12" customHeight="1">
      <c r="R18" s="318"/>
      <c r="S18" s="318"/>
      <c r="T18" s="318"/>
      <c r="U18" s="318"/>
      <c r="V18" s="318"/>
      <c r="W18" s="318"/>
      <c r="X18" s="318"/>
      <c r="Y18" s="318"/>
      <c r="Z18" s="318"/>
      <c r="AA18" s="318"/>
      <c r="AB18" s="318"/>
      <c r="AC18" s="318"/>
      <c r="AD18" s="318"/>
      <c r="AE18" s="318"/>
      <c r="AF18" s="318">
        <v>11</v>
      </c>
      <c r="AG18" s="321">
        <f>AG7-INT(AG7/100000000)*100000000-AG10-AG8-AG11-AG12-AG14-AG15-AG16</f>
        <v>0</v>
      </c>
      <c r="AH18" s="318">
        <f>AG18/1000000</f>
        <v>0</v>
      </c>
      <c r="AI18" s="318"/>
      <c r="AJ18" s="318"/>
      <c r="AK18" s="318"/>
      <c r="AL18" s="318"/>
      <c r="AM18" s="318"/>
    </row>
    <row r="19" spans="18:39" s="317" customFormat="1" ht="12" customHeight="1">
      <c r="R19" s="318"/>
      <c r="S19" s="318"/>
      <c r="T19" s="318"/>
      <c r="U19" s="318"/>
      <c r="V19" s="318"/>
      <c r="W19" s="318"/>
      <c r="X19" s="318"/>
      <c r="Y19" s="318"/>
      <c r="Z19" s="318"/>
      <c r="AA19" s="318"/>
      <c r="AB19" s="318"/>
      <c r="AC19" s="318"/>
      <c r="AD19" s="318"/>
      <c r="AE19" s="318"/>
      <c r="AF19" s="318">
        <v>12</v>
      </c>
      <c r="AG19" s="321">
        <f>AG7-INT(AG7/1000000000)*1000000000-AG10-AG8-AG11-AG12-AG14-AG15-AG16-AG18</f>
        <v>0</v>
      </c>
      <c r="AH19" s="318">
        <f>AG19/1000000</f>
        <v>0</v>
      </c>
      <c r="AI19" s="318"/>
      <c r="AJ19" s="318"/>
      <c r="AK19" s="318"/>
      <c r="AL19" s="318"/>
      <c r="AM19" s="318"/>
    </row>
    <row r="20" spans="18:39" s="317" customFormat="1" ht="12" customHeight="1">
      <c r="R20" s="318"/>
      <c r="S20" s="318"/>
      <c r="T20" s="318"/>
      <c r="U20" s="318"/>
      <c r="V20" s="318"/>
      <c r="W20" s="318"/>
      <c r="X20" s="318"/>
      <c r="Y20" s="318"/>
      <c r="Z20" s="318"/>
      <c r="AA20" s="318"/>
      <c r="AB20" s="318"/>
      <c r="AC20" s="318"/>
      <c r="AD20" s="318"/>
      <c r="AE20" s="318"/>
      <c r="AF20" s="318">
        <v>13</v>
      </c>
      <c r="AG20" s="321">
        <f>AG7-INT(AG7/10000000000)*10000000000-AG10-AG8-AG11-AG12-AG14-AG15-AG16-AG18-AG19</f>
        <v>0</v>
      </c>
      <c r="AH20" s="318">
        <f>AG20/1000000000</f>
        <v>0</v>
      </c>
      <c r="AI20" s="318"/>
      <c r="AJ20" s="318"/>
      <c r="AK20" s="318"/>
      <c r="AL20" s="318"/>
      <c r="AM20" s="318"/>
    </row>
    <row r="21" spans="18:39" s="317" customFormat="1" ht="12" customHeight="1">
      <c r="R21" s="318"/>
      <c r="S21" s="318"/>
      <c r="T21" s="318"/>
      <c r="U21" s="318"/>
      <c r="V21" s="318"/>
      <c r="W21" s="318"/>
      <c r="X21" s="318"/>
      <c r="Y21" s="318"/>
      <c r="Z21" s="318"/>
      <c r="AA21" s="318"/>
      <c r="AB21" s="318"/>
      <c r="AC21" s="318"/>
      <c r="AD21" s="318"/>
      <c r="AE21" s="318"/>
      <c r="AF21" s="318">
        <v>14</v>
      </c>
      <c r="AG21" s="321"/>
      <c r="AH21" s="321">
        <f>IF(AND(AH20+AH22&gt;=11,AH20+AH22&lt;=19),AH20+AH22,0)</f>
        <v>0</v>
      </c>
      <c r="AI21" s="318"/>
      <c r="AJ21" s="318"/>
      <c r="AK21" s="318"/>
      <c r="AL21" s="318"/>
      <c r="AM21" s="318"/>
    </row>
    <row r="22" spans="18:39" s="317" customFormat="1" ht="12" customHeight="1">
      <c r="R22" s="318"/>
      <c r="S22" s="318"/>
      <c r="T22" s="318"/>
      <c r="U22" s="318"/>
      <c r="V22" s="318"/>
      <c r="W22" s="318"/>
      <c r="X22" s="318"/>
      <c r="Y22" s="318"/>
      <c r="Z22" s="318"/>
      <c r="AA22" s="318"/>
      <c r="AB22" s="318"/>
      <c r="AC22" s="318"/>
      <c r="AD22" s="318"/>
      <c r="AE22" s="318"/>
      <c r="AF22" s="318">
        <v>15</v>
      </c>
      <c r="AG22" s="321">
        <f>AG7-INT(AG7/100000000000)*100000000000-AG10-AG8-AG11-AG12-AG14-AG15-AG16-AG18-AG19-AG20</f>
        <v>0</v>
      </c>
      <c r="AH22" s="318">
        <f>AG22/1000000000</f>
        <v>0</v>
      </c>
      <c r="AI22" s="318"/>
      <c r="AJ22" s="318"/>
      <c r="AK22" s="318"/>
      <c r="AL22" s="318"/>
      <c r="AM22" s="318"/>
    </row>
    <row r="23" spans="18:39" s="317" customFormat="1" ht="12" customHeight="1">
      <c r="R23" s="318"/>
      <c r="S23" s="318"/>
      <c r="T23" s="318"/>
      <c r="U23" s="318"/>
      <c r="V23" s="318"/>
      <c r="W23" s="318"/>
      <c r="X23" s="318"/>
      <c r="Y23" s="318"/>
      <c r="Z23" s="318"/>
      <c r="AA23" s="318"/>
      <c r="AB23" s="318"/>
      <c r="AC23" s="318"/>
      <c r="AD23" s="318"/>
      <c r="AE23" s="318"/>
      <c r="AF23" s="318">
        <v>16</v>
      </c>
      <c r="AG23" s="321">
        <f>AG7-INT(AG7/1000000000000)*1000000000000-AG10-AG8-AG11-AG12-AG14-AG15-AG16-AG18-AG19-AG20-AG22</f>
        <v>0</v>
      </c>
      <c r="AH23" s="318">
        <f>AG23/1000000000</f>
        <v>0</v>
      </c>
      <c r="AI23" s="318"/>
      <c r="AJ23" s="318"/>
      <c r="AK23" s="318"/>
      <c r="AL23" s="318"/>
      <c r="AM23" s="318"/>
    </row>
    <row r="24" spans="18:39" s="317" customFormat="1" ht="12" customHeight="1">
      <c r="R24" s="318"/>
      <c r="S24" s="318"/>
      <c r="T24" s="318"/>
      <c r="U24" s="318"/>
      <c r="V24" s="318" t="str">
        <f>IF(AG7+AH7=0,"",IF(AH11&lt;10,AE40&amp;AE39&amp;AE38&amp;AE37&amp;AK37&amp;AE36&amp;AE35&amp;AE34&amp;AE33&amp;AK33&amp;AE32&amp;AE31&amp;AE30&amp;AE29&amp;AK29&amp;AE28&amp;AE27&amp;AE26&amp;AE25&amp;AB29&amp;AI11&amp;AH11&amp;U29&amp;".",AE40&amp;AE39&amp;AE38&amp;AE37&amp;AK37&amp;AE36&amp;AE35&amp;AE34&amp;AE33&amp;AK33&amp;AE32&amp;AE31&amp;AE30&amp;AE29&amp;AK29&amp;AE28&amp;AE27&amp;AE26&amp;AE25&amp;AB29&amp;AH11&amp;U29&amp;"."))</f>
        <v>Сто тридцать четыре белорусских рубля 90 копеек.</v>
      </c>
      <c r="W24" s="318"/>
      <c r="X24" s="318"/>
      <c r="Y24" s="318"/>
      <c r="Z24" s="318"/>
      <c r="AA24" s="318"/>
      <c r="AB24" s="318"/>
      <c r="AC24" s="318"/>
      <c r="AD24" s="318"/>
      <c r="AE24" s="318"/>
      <c r="AF24" s="318"/>
      <c r="AG24" s="323" t="str">
        <f>IF(AG7+AH7=0,"",IF(AH11&lt;10,AE40&amp;AE39&amp;AE38&amp;AE37&amp;AK37&amp;AE36&amp;AE35&amp;AE34&amp;AE33&amp;AK33&amp;AE32&amp;AE31&amp;AE30&amp;AE29&amp;AK29&amp;AE28&amp;AE27&amp;AE26&amp;AE25&amp;AB29&amp;AI11&amp;AH11&amp;Z29&amp;".",AE40&amp;AE39&amp;AE38&amp;AE37&amp;AK37&amp;AE36&amp;AE35&amp;AE34&amp;AE33&amp;AK33&amp;AE32&amp;AE31&amp;AE30&amp;AE29&amp;AK29&amp;AE28&amp;AE27&amp;AE26&amp;AE25&amp;AB29&amp;AH11&amp;Z29&amp;"."))</f>
        <v>Сто тридцать четыре белорусских рубля 90 копеек.</v>
      </c>
      <c r="AH24" s="318"/>
      <c r="AI24" s="318"/>
      <c r="AJ24" s="318"/>
      <c r="AK24" s="318"/>
      <c r="AL24" s="318"/>
      <c r="AM24" s="318"/>
    </row>
    <row r="25" spans="18:39" s="317" customFormat="1" ht="12" customHeight="1">
      <c r="R25" s="318"/>
      <c r="S25" s="318"/>
      <c r="T25" s="318"/>
      <c r="U25" s="324">
        <f>IF(AND(AH9&gt;=11,AH9&lt;=19),"",IF(AH10=1,V25,""))</f>
      </c>
      <c r="V25" s="318" t="s">
        <v>283</v>
      </c>
      <c r="W25" s="318"/>
      <c r="X25" s="318"/>
      <c r="Y25" s="318"/>
      <c r="Z25" s="324">
        <f>IF(AND(AH9&gt;=11,AH9&lt;=19),"",IF(AH10=1,AA25,""))</f>
      </c>
      <c r="AA25" s="318" t="s">
        <v>283</v>
      </c>
      <c r="AB25" s="324">
        <f>IF(AG9&gt;0,"",IF(AND(Z29="",AG8=1),AC25,IF(AG8=1,AC25&amp;" ","")))</f>
      </c>
      <c r="AC25" s="325" t="s">
        <v>284</v>
      </c>
      <c r="AD25" s="318"/>
      <c r="AE25" s="318" t="str">
        <f>IF(SUM(AG9:AG23)=0,PROPER(AG25),AG25)</f>
        <v> четыре</v>
      </c>
      <c r="AF25" s="318">
        <v>1</v>
      </c>
      <c r="AG25" s="323" t="str">
        <f>IF(AND(AG9&lt;20,AG9&gt;10),"",AH25&amp;AJ25&amp;AI25)</f>
        <v> четыре</v>
      </c>
      <c r="AH25" s="318">
        <f>IF(AL25=3,IF(AG8=1,"один",IF(AG8=2,"два",IF(AG8=3,"три",""))),IF(AG8=1," один",IF(AG8=2," два",IF(AG8=3," три",""))))</f>
      </c>
      <c r="AI25" s="318" t="str">
        <f>IF(AL25=3,IF(AG8=4,"четыре",IF(AG8=5,"пять",IF(AG8=6,"шесть",""))),IF(AG8=4," четыре",IF(AG8=5," пять",IF(AG8=6," шесть",""))))</f>
        <v> четыре</v>
      </c>
      <c r="AJ25" s="318">
        <f>IF(AL25=3,IF(AG8=7,"семь",IF(AG8=8,"восемь",IF(AG8=9,"девять",""))),IF(AG8=7," семь",IF(AG8=8," восемь",IF(AG8=9," девять",""))))</f>
      </c>
      <c r="AK25" s="318"/>
      <c r="AL25" s="318">
        <f>IF(AND(AG40="",AG38="",AG39="",AG37="",AG36="",AG35="",AG34=""),1,0)+IF(AND(AG33="",AG32="",AG31="",AG30="",AG29="",AG28="",AG27=""),1,0)+IF(AG26="",1,0)</f>
        <v>2</v>
      </c>
      <c r="AM25" s="318"/>
    </row>
    <row r="26" spans="18:39" s="317" customFormat="1" ht="12" customHeight="1">
      <c r="R26" s="318"/>
      <c r="S26" s="318"/>
      <c r="T26" s="318"/>
      <c r="U26" s="326">
        <f>IF(AND(AH9&gt;=11,AH9&lt;=19),"",IF(OR(AH10=2,AH10=3,AH10=4),V26,""))</f>
      </c>
      <c r="V26" s="318" t="s">
        <v>285</v>
      </c>
      <c r="W26" s="318"/>
      <c r="X26" s="318"/>
      <c r="Y26" s="318"/>
      <c r="Z26" s="326">
        <f>IF(AND(AH9&gt;=11,AH9&lt;=19),"",IF(OR(AH10=2,AH10=3,AH10=4),AA26,""))</f>
      </c>
      <c r="AA26" s="318" t="s">
        <v>285</v>
      </c>
      <c r="AB26" s="326" t="str">
        <f>IF(AG9&gt;0,"",IF(AND(Z29="",OR(AG8=2,AG8=3,AG8=4)),AC26,IF(OR(AG8=2,AG8=3,AG8=4),AC26&amp;" ","")))</f>
        <v> белорусских рубля </v>
      </c>
      <c r="AC26" s="327" t="s">
        <v>286</v>
      </c>
      <c r="AD26" s="318"/>
      <c r="AE26" s="318">
        <f>IF(SUM(AG11:AG23)=0,PROPER(AG26),AG26)</f>
      </c>
      <c r="AF26" s="318">
        <v>2</v>
      </c>
      <c r="AG26" s="323">
        <f>AH26&amp;AJ26&amp;AI26</f>
      </c>
      <c r="AH26" s="318">
        <f>IF(AL26=2,IF(AG9=11,"одиннадцать",IF(AG9=12,"двенадцать",IF(AG9=13,"тринадцать",""))),IF(AG9=11," одиннадцать",IF(AG9=12," двенадцать",IF(AG9=13," тринадцать",""))))</f>
      </c>
      <c r="AI26" s="318">
        <f>IF(AL26=2,IF(AG9=14,"четырнадцать",IF(AG9=15,"пятнадцать",IF(AG9=16,"шестнадцать",""))),IF(AG9=14," четырнадцать",IF(AG9=15," пятнадцать",IF(AG9=16," шестнадцать",""))))</f>
      </c>
      <c r="AJ26" s="318">
        <f>IF(AL26=2,IF(AG9=17,"семнадцать",IF(AG9=18,"восемнадцать",IF(AG9=19,"девятнадцать",""))),IF(AG9=17," семнадцать",IF(AG9=18," восемнадцать",IF(AG9=19," девятнадцать",""))))</f>
      </c>
      <c r="AK26" s="318"/>
      <c r="AL26" s="318">
        <f>IF(AND(AG40="",AG38="",AG39="",AG37="",AG36="",AG35="",AG34=""),1,0)+IF(AND(AG33="",AG32="",AG31="",AG30="",AG29="",AG28="",AG27=""),1,0)</f>
        <v>1</v>
      </c>
      <c r="AM26" s="318"/>
    </row>
    <row r="27" spans="18:39" s="317" customFormat="1" ht="12" customHeight="1">
      <c r="R27" s="318"/>
      <c r="S27" s="318"/>
      <c r="T27" s="318"/>
      <c r="U27" s="326" t="str">
        <f>IF(AND(AH9&gt;=11,AH9&lt;=19),"",IF(OR(AH10=0,AH10=5,AH10=6,AH10=7,AH10=8,AH10=9),V27,""))</f>
        <v> копеек</v>
      </c>
      <c r="V27" s="318" t="s">
        <v>287</v>
      </c>
      <c r="W27" s="318"/>
      <c r="X27" s="318"/>
      <c r="Y27" s="318"/>
      <c r="Z27" s="326" t="str">
        <f>IF(AND(AH9&gt;=11,AH9&lt;=19),"",IF(OR(AH10=0,AH10=5,AH10=6,AH10=7,AH10=8,AH10=9),AA27,""))</f>
        <v> копеек</v>
      </c>
      <c r="AA27" s="318" t="s">
        <v>287</v>
      </c>
      <c r="AB27" s="326">
        <f>IF(AG9&gt;0,"",IF(AND(Z29="",OR(AG8=0,AG8=5,AG8=6,AG8=7,AG8=8,AG8=9)),AC27,IF(OR(AG8=0,AG8=5,AG8=6,AG8=7,AG8=8,AG8=9),AC27&amp;" ","")))</f>
      </c>
      <c r="AC27" s="327" t="s">
        <v>288</v>
      </c>
      <c r="AD27" s="318"/>
      <c r="AE27" s="318" t="str">
        <f>IF(SUM(AG11:AG23)=0,PROPER(AG27),AG27)</f>
        <v> тридцать</v>
      </c>
      <c r="AF27" s="318">
        <v>3</v>
      </c>
      <c r="AG27" s="323" t="str">
        <f>IF(AND(AG9&lt;20,AG9&gt;10),"",AH27&amp;AJ27&amp;AI27)</f>
        <v> тридцать</v>
      </c>
      <c r="AH27" s="318" t="str">
        <f>IF(AL27=2,IF(AG10=10,"десять",IF(AG10=20,"двадцать",IF(AG10=30,"тридцать",""))),IF(AG10=10," десять",IF(AG10=20," двадцать",IF(AG10=30," тридцать",""))))</f>
        <v> тридцать</v>
      </c>
      <c r="AI27" s="318">
        <f>IF(AL27=2,IF(AG10=40,"сорок",IF(AG10=50,"пятьдесят",IF(AG10=60,"шестьдесят",""))),IF(AG10=40," сорок",IF(AG10=50," пятьдесят",IF(AG10=60," шестьдесят",""))))</f>
      </c>
      <c r="AJ27" s="318">
        <f>IF(AL27=2,IF(AG10=70,"семьдесят",IF(AG10=80,"восемьдесят",IF(AG10=90,"девяносто",""))),IF(AG10=70," семьдесят",IF(AG10=80," восемьдесят",IF(AG10=90," девяносто",""))))</f>
      </c>
      <c r="AK27" s="318"/>
      <c r="AL27" s="318">
        <f>IF(AND(AG40="",AG38="",AG39="",AG37="",AG36="",AG35="",AG34=""),1,0)+IF(AND(AG33="",AG32="",AG31="",AG30="",AG29="",AG28=""),1,0)</f>
        <v>1</v>
      </c>
      <c r="AM27" s="318"/>
    </row>
    <row r="28" spans="18:39" s="317" customFormat="1" ht="12" customHeight="1">
      <c r="R28" s="318"/>
      <c r="S28" s="318"/>
      <c r="T28" s="318"/>
      <c r="U28" s="318">
        <f>IF(AND(AH9&gt;=11,AH9&lt;=19),V27,"")</f>
      </c>
      <c r="V28" s="318"/>
      <c r="W28" s="318"/>
      <c r="X28" s="318"/>
      <c r="Y28" s="318"/>
      <c r="Z28" s="318">
        <f>IF(AND(AH9&gt;=11,AH9&lt;=19),AA27,"")</f>
      </c>
      <c r="AA28" s="318"/>
      <c r="AB28" s="318">
        <f>IF(AND(Z29="",AG9&gt;=11,AG9&lt;=19),AC27,IF(AND(AG9&gt;=11,AG9&lt;=19),AC27&amp;" ",""))</f>
      </c>
      <c r="AC28" s="327"/>
      <c r="AD28" s="318"/>
      <c r="AE28" s="318" t="str">
        <f>IF(SUM(AH12:AH23)=0,PROPER(AG28),AG28)</f>
        <v>Сто</v>
      </c>
      <c r="AF28" s="318">
        <v>4</v>
      </c>
      <c r="AG28" s="323" t="str">
        <f>AH28&amp;AJ28&amp;AI28</f>
        <v>сто</v>
      </c>
      <c r="AH28" s="318" t="str">
        <f>IF(AL28=2,IF(AG11=100,"сто",IF(AG11=200,"двести",IF(AG11=300,"триста",""))),IF(AG11=100," сто",IF(AG11=200," двести",IF(AG11=300," триста",""))))</f>
        <v>сто</v>
      </c>
      <c r="AI28" s="318">
        <f>IF(AL28=2,IF(AG11=400,"четыреста",IF(AG11=500,"пятьсот",IF(AG11=600,"шестьсот",""))),IF(AG11=400," четыреста",IF(AG11=500," пятьсот",IF(AG11=600," шестьсот",""))))</f>
      </c>
      <c r="AJ28" s="318">
        <f>IF(AL28=2,IF(AG11=700,"семьсот",IF(AG11=800,"восемьсот",IF(AG11=900,"девятьсот",""))),IF(AG11=700," семьсот",IF(AG11=800," восемьсот",IF(AG11=900," девятьсот",""))))</f>
      </c>
      <c r="AK28" s="318"/>
      <c r="AL28" s="318">
        <f>IF(AND(AG40="",AG38="",AG39="",AG37="",AG36="",AG35="",AG34=""),1,0)+IF(AND(AG33="",AG32="",AG31="",AG30="",AG29=""),1,0)</f>
        <v>2</v>
      </c>
      <c r="AM28" s="318"/>
    </row>
    <row r="29" spans="18:39" s="317" customFormat="1" ht="12" customHeight="1">
      <c r="R29" s="318"/>
      <c r="S29" s="318"/>
      <c r="T29" s="318"/>
      <c r="U29" s="325" t="str">
        <f>IF(AH11=""," 00"&amp;U25&amp;U26&amp;U27&amp;U28,U25&amp;U26&amp;U27&amp;U28)</f>
        <v> копеек</v>
      </c>
      <c r="V29" s="318"/>
      <c r="W29" s="318"/>
      <c r="X29" s="318"/>
      <c r="Y29" s="318"/>
      <c r="Z29" s="325" t="str">
        <f>IF(AH8=0,"",Z25&amp;Z26&amp;Z27&amp;Z28)</f>
        <v> копеек</v>
      </c>
      <c r="AA29" s="318"/>
      <c r="AB29" s="325" t="str">
        <f>IF(AG7=0,"",AB25&amp;AB26&amp;AB27&amp;AB28)</f>
        <v> белорусских рубля </v>
      </c>
      <c r="AC29" s="325"/>
      <c r="AD29" s="318"/>
      <c r="AE29" s="318">
        <f>IF(SUM(AH13:AH23)=0,PROPER(AG29),AG29)</f>
      </c>
      <c r="AF29" s="318">
        <v>5</v>
      </c>
      <c r="AG29" s="323">
        <f>IF(AND(AH13&lt;20,AH13&gt;10),"",AH29&amp;AJ29&amp;AI29)</f>
      </c>
      <c r="AH29" s="318">
        <f>IF(AL29=2,IF(AH12=1,"одна",IF(AH12=2,"две",IF(AH12=3,"три",""))),IF(AH12=1," одна",IF(AH12=2," две",IF(AH12=3," три",""))))</f>
      </c>
      <c r="AI29" s="318">
        <f>IF(AL29=2,IF(AH12=4,"четыре",IF(AH12=5,"пять",IF(AH12=6,"шесть",""))),IF(AH12=4," четыре",IF(AH12=5," пять",IF(AH12=6," шесть",""))))</f>
      </c>
      <c r="AJ29" s="318">
        <f>IF(AL29=2,IF(AH12=7,"семь",IF(AH12=8,"восемь",IF(AH12=9,"девять",""))),IF(AH12=7," семь",IF(AH12=8," восемь",IF(AH12=9," девять",""))))</f>
      </c>
      <c r="AK29" s="318">
        <f>IF(AND(AG29="",AG30="",AG31="",AG32=""),"",IF(AND(AH13&lt;20,AH13&gt;10)," тысяч",IF(AH12=1," тысяча",IF(OR(AH12=2,AH12=3,AH12=4)," тысячи"," тысяч"))))</f>
      </c>
      <c r="AL29" s="318">
        <f>IF(AND(AG40="",AG38="",AG39="",AG37="",AG36="",AG35="",AG34=""),1,0)+IF(AND(AG33="",AG32="",AG31="",AG30=""),1,0)</f>
        <v>2</v>
      </c>
      <c r="AM29" s="318"/>
    </row>
    <row r="30" spans="18:39" s="317" customFormat="1" ht="12" customHeight="1">
      <c r="R30" s="318"/>
      <c r="S30" s="318"/>
      <c r="T30" s="318"/>
      <c r="U30" s="318"/>
      <c r="V30" s="318"/>
      <c r="W30" s="318"/>
      <c r="X30" s="318"/>
      <c r="Y30" s="318"/>
      <c r="Z30" s="318"/>
      <c r="AA30" s="318"/>
      <c r="AB30" s="324"/>
      <c r="AC30" s="325"/>
      <c r="AD30" s="318"/>
      <c r="AE30" s="318">
        <f>IF(SUM(AH15:AH23)=0,PROPER(AG30),AG30)</f>
      </c>
      <c r="AF30" s="318">
        <v>6</v>
      </c>
      <c r="AG30" s="323">
        <f>AH30&amp;AJ30&amp;AI30</f>
      </c>
      <c r="AH30" s="318">
        <f>IF(AL30=2,IF(AH13=11,"одиннадцать",IF(AH13=12,"двенадцать",IF(AH13=13,"тринадцать",""))),IF(AH13=11," одиннадцать",IF(AH13=12," двенадцать",IF(AH13=13," тринадцать",""))))</f>
      </c>
      <c r="AI30" s="318">
        <f>IF(AL30=2,IF(AH13=14,"четырнадцать",IF(AH13=15,"пятнадцать",IF(AH13=16,"шестнадцать",""))),IF(AH13=14," четырнадцать",IF(AH13=15," пятнадцать",IF(AH13=16," шестнадцать",""))))</f>
      </c>
      <c r="AJ30" s="318">
        <f>IF(AL30=2,IF(AH13=17,"семнадцать",IF(AH13=18,"восемнадцать",IF(AH13=19,"девятнадцать",""))),IF(AH13=17," семнадцать",IF(AH13=18," восемнадцать",IF(AH13=19," девятнадцать",""))))</f>
      </c>
      <c r="AK30" s="318"/>
      <c r="AL30" s="318">
        <f>IF(AND(AG40="",AG38="",AG39="",AG37="",AG36="",AG35="",AG34=""),1,0)+IF(AND(AG33="",AG32="",AG31=""),1,0)</f>
        <v>2</v>
      </c>
      <c r="AM30" s="318"/>
    </row>
    <row r="31" spans="18:39" s="317" customFormat="1" ht="12" customHeight="1">
      <c r="R31" s="318"/>
      <c r="S31" s="318"/>
      <c r="T31" s="318"/>
      <c r="U31" s="318"/>
      <c r="V31" s="318"/>
      <c r="W31" s="318"/>
      <c r="X31" s="318"/>
      <c r="Y31" s="318"/>
      <c r="Z31" s="318"/>
      <c r="AA31" s="318"/>
      <c r="AB31" s="318"/>
      <c r="AC31" s="318"/>
      <c r="AD31" s="318"/>
      <c r="AE31" s="318">
        <f>IF(SUM(AH15:AH23)=0,PROPER(AG31),AG31)</f>
      </c>
      <c r="AF31" s="318">
        <v>7</v>
      </c>
      <c r="AG31" s="323">
        <f>IF(AND(AH13&lt;20,AH13&gt;10),"",AH31&amp;AJ31&amp;AI31)</f>
      </c>
      <c r="AH31" s="318">
        <f>IF(AL31=2,IF(AH14=10,"десять",IF(AH14=20,"двадцать",IF(AH14=30,"тридцать",""))),IF(AH14=10," десять",IF(AH14=20," двадцать",IF(AH14=30," тридцать",""))))</f>
      </c>
      <c r="AI31" s="318">
        <f>IF(AL31=2,IF(AH14=40,"сорок",IF(AH14=50,"пятьдесят",IF(AH14=60,"шестьдесят",""))),IF(AH14=40," сорок",IF(AH14=50," пятьдесят",IF(AH14=60," шестьдесят",""))))</f>
      </c>
      <c r="AJ31" s="318">
        <f>IF(AL31=2,IF(AH14=70,"семьдесят",IF(AH14=80,"восемьдесят",IF(AH14=90,"девяносто",""))),IF(AH14=70," семьдесят",IF(AH14=80," восемьдесят",IF(AH14=90," девяносто",""))))</f>
      </c>
      <c r="AK31" s="318"/>
      <c r="AL31" s="318">
        <f>IF(AND(AG40="",AG38="",AG39="",AG37="",AG36="",AG35="",AG34=""),1,0)+IF(AND(AG33="",AG32=""),1,0)</f>
        <v>2</v>
      </c>
      <c r="AM31" s="318"/>
    </row>
    <row r="32" spans="18:39" s="317" customFormat="1" ht="12" customHeight="1">
      <c r="R32" s="318"/>
      <c r="S32" s="318"/>
      <c r="T32" s="318"/>
      <c r="U32" s="318"/>
      <c r="V32" s="318"/>
      <c r="W32" s="318"/>
      <c r="X32" s="318"/>
      <c r="Y32" s="318"/>
      <c r="Z32" s="318"/>
      <c r="AA32" s="318"/>
      <c r="AB32" s="318"/>
      <c r="AC32" s="318"/>
      <c r="AD32" s="318"/>
      <c r="AE32" s="318">
        <f>IF(SUM(AH16:AH23)=0,PROPER(AG32),AG32)</f>
      </c>
      <c r="AF32" s="318">
        <v>8</v>
      </c>
      <c r="AG32" s="323">
        <f>AH32&amp;AJ32&amp;AI32</f>
      </c>
      <c r="AH32" s="318">
        <f>IF(AL32=2,IF(AH15=100,"сто",IF(AH15=200,"двести",IF(AH15=300,"триста",""))),IF(AH15=100," сто",IF(AH15=200," двести",IF(AH15=300," триста",""))))</f>
      </c>
      <c r="AI32" s="318">
        <f>IF(AL32=2,IF(AH15=400,"четыреста",IF(AH15=500,"пятьсот",IF(AH15=600,"шестьсот",""))),IF(AH15=400," четыреста",IF(AH15=500," пятьсот",IF(AH15=600," шестьсот",""))))</f>
      </c>
      <c r="AJ32" s="318">
        <f>IF(AL32=2,IF(AH15=700,"семьсот",IF(AH15=800,"восемьсот",IF(AH15=900,"девятьсот",""))),IF(AH15=700," семьсот",IF(AH15=800," восемьсот",IF(AH15=900," девятьсот",""))))</f>
      </c>
      <c r="AK32" s="318"/>
      <c r="AL32" s="318">
        <f>IF(AND(AG40="",AG38="",AG39="",AG37="",AG36="",AG35="",AG34=""),1,0)+IF(AG33="",1,0)</f>
        <v>2</v>
      </c>
      <c r="AM32" s="318"/>
    </row>
    <row r="33" spans="18:39" s="317" customFormat="1" ht="12" customHeight="1">
      <c r="R33" s="318"/>
      <c r="S33" s="318"/>
      <c r="T33" s="318"/>
      <c r="U33" s="318"/>
      <c r="V33" s="318"/>
      <c r="W33" s="318"/>
      <c r="X33" s="318"/>
      <c r="Y33" s="318"/>
      <c r="Z33" s="318"/>
      <c r="AA33" s="318"/>
      <c r="AB33" s="318"/>
      <c r="AC33" s="318"/>
      <c r="AD33" s="318"/>
      <c r="AE33" s="318">
        <f>IF(SUM(AH17:AH23)=0,PROPER(AG33),AG33)</f>
      </c>
      <c r="AF33" s="318">
        <v>9</v>
      </c>
      <c r="AG33" s="323">
        <f>IF(AND(AH17&lt;20,AH17&gt;10),"",AH33&amp;AJ33&amp;AI33)</f>
      </c>
      <c r="AH33" s="318">
        <f>IF(AL33=1,IF(AH16=1,"один",IF(AH16=2,"два",IF(AH16=3,"три",""))),IF(AH16=1," один",IF(AH16=2," два",IF(AH16=3," три",""))))</f>
      </c>
      <c r="AI33" s="318">
        <f>IF(AL33=1,IF(AH16=4,"четыре",IF(AH16=5,"пять",IF(AH16=6,"шесть",""))),IF(AH16=4," четыре",IF(AH16=5," пять",IF(AH16=6," шесть",""))))</f>
      </c>
      <c r="AJ33" s="318">
        <f>IF(AL33=1,IF(AH16=7,"семь",IF(AH16=8,"восемь",IF(AH16=9,"девять",""))),IF(AH16=7," семь",IF(AH16=8," восемь",IF(AH16=9," девять",""))))</f>
      </c>
      <c r="AK33" s="318">
        <f>IF(AND(AG33="",AG34="",AG35="",AG36=""),"",IF(AND(AH17&lt;20,AH17&gt;10)," миллионов",IF(AH16=1," миллион",IF(OR(AH16=2,AH16=3,AH16=4)," миллиона"," миллионов"))))</f>
      </c>
      <c r="AL33" s="318">
        <f>IF(AND(AG40="",AG38="",AG39="",AG37="",AG36="",AG35="",AG34=""),1,0)</f>
        <v>1</v>
      </c>
      <c r="AM33" s="318"/>
    </row>
    <row r="34" spans="18:39" s="317" customFormat="1" ht="12" customHeight="1">
      <c r="R34" s="318"/>
      <c r="S34" s="318"/>
      <c r="T34" s="318"/>
      <c r="U34" s="318"/>
      <c r="V34" s="318"/>
      <c r="W34" s="318"/>
      <c r="X34" s="318"/>
      <c r="Y34" s="318"/>
      <c r="Z34" s="318"/>
      <c r="AA34" s="318"/>
      <c r="AB34" s="318"/>
      <c r="AC34" s="318"/>
      <c r="AD34" s="318"/>
      <c r="AE34" s="318">
        <f>IF(SUM(AH19:AH23)=0,PROPER(AG34),AG34)</f>
      </c>
      <c r="AF34" s="318">
        <v>10</v>
      </c>
      <c r="AG34" s="323">
        <f>AH34&amp;AJ34&amp;AI34</f>
      </c>
      <c r="AH34" s="318">
        <f>IF(AL34=1,IF(AH17=11,"одиннадцать",IF(AH17=12,"двенадцать",IF(AH17=13,"тринадцать",""))),IF(AH17=11," одиннадцать",IF(AH17=12," двенадцать",IF(AH17=13," тринадцать",""))))</f>
      </c>
      <c r="AI34" s="318">
        <f>IF(AL34=1,IF(AH17=14,"четырнадцать",IF(AH17=15,"пятнадцать",IF(AH17=16,"шестнадцать",""))),IF(AH17=14," четырнадцать",IF(AH17=15," пятнадцать",IF(AH17=16," шестнадцать",""))))</f>
      </c>
      <c r="AJ34" s="318">
        <f>IF(AL34=1,IF(AH17=17,"семнадцать",IF(AH17=18,"восемнадцать",IF(AH17=19,"девятнадцать",""))),IF(AH17=17," семнадцать",IF(AH17=18," восемнадцать",IF(AH17=19," девятнадцать",""))))</f>
      </c>
      <c r="AK34" s="318"/>
      <c r="AL34" s="318">
        <f>IF(AND(AG40="",AG38="",AG39="",AG37="",AG36="",AG35=""),1,0)</f>
        <v>1</v>
      </c>
      <c r="AM34" s="318"/>
    </row>
    <row r="35" spans="18:39" s="317" customFormat="1" ht="12" customHeight="1">
      <c r="R35" s="318"/>
      <c r="S35" s="318"/>
      <c r="T35" s="318"/>
      <c r="U35" s="318"/>
      <c r="V35" s="318"/>
      <c r="W35" s="318"/>
      <c r="X35" s="318"/>
      <c r="Y35" s="318"/>
      <c r="Z35" s="318"/>
      <c r="AA35" s="318"/>
      <c r="AB35" s="318"/>
      <c r="AC35" s="318"/>
      <c r="AD35" s="318"/>
      <c r="AE35" s="318">
        <f>IF(SUM(AH19:AH23)=0,PROPER(AG35),AG35)</f>
      </c>
      <c r="AF35" s="318">
        <v>11</v>
      </c>
      <c r="AG35" s="323">
        <f>IF(AND(AH17&lt;20,AH17&gt;10),"",AH35&amp;AJ35&amp;AI35)</f>
      </c>
      <c r="AH35" s="318">
        <f>IF(AL35=1,IF(AH18=10,"десять",IF(AH18=20,"двадцать",IF(AH18=30,"тридцать",""))),IF(AH18=10," десять",IF(AH18=20," двадцать",IF(AH18=30," тридцать",""))))</f>
      </c>
      <c r="AI35" s="318">
        <f>IF(AL35=1,IF(AH18=40,"сорок",IF(AH18=50,"пятьдесят",IF(AH18=60,"шестьдесят",""))),IF(AH18=40," сорок",IF(AH18=50," пятьдесят",IF(AH18=60," шестьдесят",""))))</f>
      </c>
      <c r="AJ35" s="318">
        <f>IF(AL35=1,IF(AH18=70,"семьдесят",IF(AH18=80,"восемьдесят",IF(AH18=90,"девяносто",""))),IF(AH18=70," семьдесят",IF(AH18=80," восемьдесят",IF(AH18=90," девяносто",""))))</f>
      </c>
      <c r="AK35" s="318"/>
      <c r="AL35" s="318">
        <f>IF(AND(AG40="",AG38="",AG39="",AG37="",AG36=""),1,0)</f>
        <v>1</v>
      </c>
      <c r="AM35" s="318"/>
    </row>
    <row r="36" spans="18:39" s="317" customFormat="1" ht="12" customHeight="1">
      <c r="R36" s="318"/>
      <c r="S36" s="318"/>
      <c r="T36" s="318"/>
      <c r="U36" s="318"/>
      <c r="V36" s="318"/>
      <c r="W36" s="318"/>
      <c r="X36" s="318"/>
      <c r="Y36" s="318"/>
      <c r="Z36" s="318"/>
      <c r="AA36" s="318"/>
      <c r="AB36" s="318"/>
      <c r="AC36" s="318"/>
      <c r="AD36" s="318"/>
      <c r="AE36" s="318">
        <f>IF(SUM(AH20:AH23)=0,PROPER(AG36),AG36)</f>
      </c>
      <c r="AF36" s="318">
        <v>12</v>
      </c>
      <c r="AG36" s="323">
        <f>AH36&amp;AJ36&amp;AI36</f>
      </c>
      <c r="AH36" s="318">
        <f>IF(AL36=1,IF(AH19=100,"сто",IF(AH19=200,"двести",IF(AH19=300,"триста",""))),IF(AH19=100," сто",IF(AH19=200," двести",IF(AH19=300," триста",""))))</f>
      </c>
      <c r="AI36" s="318">
        <f>IF(AL36=1,IF(AH19=400,"четыреста",IF(AH19=500,"пятьсот",IF(AH19=600,"шестьсот",""))),IF(AH19=400," четыреста",IF(AH19=500," пятьсот",IF(AH19=600," шестьсот",""))))</f>
      </c>
      <c r="AJ36" s="318">
        <f>IF(AL36=1,IF(AH19=700,"семьсот",IF(AH19=800,"восемьсот",IF(AH19=900,"девятьсот",""))),IF(AH19=700," семьсот",IF(AH19=800," восемьсот",IF(AH19=900," девятьсот",""))))</f>
      </c>
      <c r="AK36" s="318"/>
      <c r="AL36" s="318">
        <f>IF(AND(AG40="",AG38="",AG39="",AG37=""),1,0)</f>
        <v>1</v>
      </c>
      <c r="AM36" s="318"/>
    </row>
    <row r="37" spans="18:39" s="317" customFormat="1" ht="12" customHeight="1">
      <c r="R37" s="318"/>
      <c r="S37" s="318"/>
      <c r="T37" s="318"/>
      <c r="U37" s="318"/>
      <c r="V37" s="318"/>
      <c r="W37" s="318"/>
      <c r="X37" s="318"/>
      <c r="Y37" s="318"/>
      <c r="Z37" s="318"/>
      <c r="AA37" s="318"/>
      <c r="AB37" s="318"/>
      <c r="AC37" s="318"/>
      <c r="AD37" s="318"/>
      <c r="AE37" s="318">
        <f>IF(SUM(AH21:AH23)=0,PROPER(AG37),AG37)</f>
      </c>
      <c r="AF37" s="318">
        <v>13</v>
      </c>
      <c r="AG37" s="323">
        <f>IF(AND(AH21&lt;20,AH21&gt;10),"",AH37&amp;AJ37&amp;AI37)</f>
      </c>
      <c r="AH37" s="318">
        <f>IF(AL37=1,IF(AH20=1,"один",IF(AH20=2,"два",IF(AH20=3,"три",""))),IF(AH20=1," один",IF(AH20=2," два",IF(AH20=3," три",""))))</f>
      </c>
      <c r="AI37" s="318">
        <f>IF(AL37=1,IF(AH20=4,"четыре",IF(AH20=5,"пять",IF(AH20=6,"шесть",""))),IF(AH20=4," четыре",IF(AH20=5," пять",IF(AH20=6," шесть",""))))</f>
      </c>
      <c r="AJ37" s="318">
        <f>IF(AL37=1,IF(AH20=7,"семь",IF(AH20=8,"восемь",IF(AH20=9,"девять",""))),IF(AH20=7," семь",IF(AH20=8," восемь",IF(AH20=9," девять",""))))</f>
      </c>
      <c r="AK37" s="318">
        <f>IF(AND(AG37="",AG38="",AG39="",AG40=""),"",IF(AND(AH21&lt;20,AH21&gt;10)," миллиардов",IF(AH20=1," миллиард",IF(OR(AH20=2,AH20=3,AH20=4)," миллиарда"," миллиардов"))))</f>
      </c>
      <c r="AL37" s="318">
        <f>IF(AND(AG40="",AG38="",AG39=""),1,0)</f>
        <v>1</v>
      </c>
      <c r="AM37" s="318"/>
    </row>
    <row r="38" spans="18:39" s="317" customFormat="1" ht="12" customHeight="1">
      <c r="R38" s="318"/>
      <c r="S38" s="318"/>
      <c r="T38" s="318"/>
      <c r="U38" s="318"/>
      <c r="V38" s="318"/>
      <c r="W38" s="318"/>
      <c r="X38" s="318"/>
      <c r="Y38" s="318"/>
      <c r="Z38" s="318"/>
      <c r="AA38" s="318"/>
      <c r="AB38" s="318"/>
      <c r="AC38" s="318"/>
      <c r="AD38" s="318"/>
      <c r="AE38" s="318">
        <f>IF(AH23=0,PROPER(AG38),AG38)</f>
      </c>
      <c r="AF38" s="318">
        <v>14</v>
      </c>
      <c r="AG38" s="323">
        <f>AH38&amp;AJ38&amp;AI38</f>
      </c>
      <c r="AH38" s="318">
        <f>IF(AL38=1,IF(AH21=11,"одиннадцать",IF(AH21=12,"двенадцать",IF(AH21=13,"тринадцать",""))),IF(AH21=11," одиннадцать",IF(AH21=12," двенадцать",IF(AH21=13," тринадцать",""))))</f>
      </c>
      <c r="AI38" s="318">
        <f>IF(AL38=1,IF(AH21=14,"четырнадцать",IF(AH21=15,"пятнадцать",IF(AH21=16,"шестнадцать",""))),IF(AH21=14," четырнадцать",IF(AH21=15," пятнадцать",IF(AH21=16," шестнадцать",""))))</f>
      </c>
      <c r="AJ38" s="318">
        <f>IF(AL38=1,IF(AH21=17,"семнадцать",IF(AH21=18,"восемнадцать",IF(AH21=19,"девятнадцать",""))),IF(AH21=17," семнадцать",IF(AH21=18," восемнадцать",IF(AH21=19," девятнадцать",""))))</f>
      </c>
      <c r="AK38" s="318"/>
      <c r="AL38" s="318">
        <f>IF(AND(AG39="",AG40=""),1,0)</f>
        <v>1</v>
      </c>
      <c r="AM38" s="318"/>
    </row>
    <row r="39" spans="18:39" s="317" customFormat="1" ht="12" customHeight="1">
      <c r="R39" s="318"/>
      <c r="S39" s="318"/>
      <c r="T39" s="318"/>
      <c r="U39" s="318"/>
      <c r="V39" s="318"/>
      <c r="W39" s="318"/>
      <c r="X39" s="318"/>
      <c r="Y39" s="318"/>
      <c r="Z39" s="318"/>
      <c r="AA39" s="318"/>
      <c r="AB39" s="318"/>
      <c r="AC39" s="318"/>
      <c r="AD39" s="318"/>
      <c r="AE39" s="318">
        <f>IF(SUM(AH23)=0,PROPER(AG39),AG39)</f>
      </c>
      <c r="AF39" s="318">
        <v>15</v>
      </c>
      <c r="AG39" s="323">
        <f>IF(AND(AH21&lt;20,AH21&gt;10),"",AH39&amp;AJ39&amp;AI39)</f>
      </c>
      <c r="AH39" s="318">
        <f>IF(AL39=1,IF(AH22=10,"десять",IF(AH22=20,"двадцать",IF(AH22=30,"тридцать",""))),IF(AH22=10," десять",IF(AH22=20," двадцать",IF(AH22=30," тридцать",""))))</f>
      </c>
      <c r="AI39" s="318">
        <f>IF(AL39=1,IF(AH22=40,"сорок",IF(AH22=50,"пятьдесят",IF(AH22=60,"шестьдесят",""))),IF(AH22=40," сорок",IF(AH22=50," пятьдесят",IF(AH22=60," шестьдесят",""))))</f>
      </c>
      <c r="AJ39" s="318">
        <f>IF(AL39=1,IF(AH22=70,"семьдесят",IF(AH22=80,"восемьдесят",IF(AH22=90,"девяносто",""))),IF(AH22=70," семьдесят",IF(AH22=80," восемьдесят",IF(AH22=90," девяносто",""))))</f>
      </c>
      <c r="AK39" s="318"/>
      <c r="AL39" s="318">
        <f>IF(AG40="",1,0)</f>
        <v>1</v>
      </c>
      <c r="AM39" s="318"/>
    </row>
    <row r="40" spans="18:39" s="317" customFormat="1" ht="12" customHeight="1">
      <c r="R40" s="318"/>
      <c r="S40" s="318"/>
      <c r="T40" s="318"/>
      <c r="U40" s="318"/>
      <c r="V40" s="318"/>
      <c r="W40" s="318"/>
      <c r="X40" s="318"/>
      <c r="Y40" s="318"/>
      <c r="Z40" s="318"/>
      <c r="AA40" s="318"/>
      <c r="AB40" s="318"/>
      <c r="AC40" s="318"/>
      <c r="AD40" s="318"/>
      <c r="AE40" s="318">
        <f>PROPER(AG40)</f>
      </c>
      <c r="AF40" s="318">
        <v>16</v>
      </c>
      <c r="AG40" s="323">
        <f>AH40&amp;AI40</f>
      </c>
      <c r="AH40" s="318">
        <f>IF(AH23=100,"сто",IF(AH23=200,"двести",IF(AH23=300,"триста",IF(AH23=400,"четыреста",IF(AH23=500,"пятьсот",IF(AH23=600,"шестьсот",""))))))</f>
      </c>
      <c r="AI40" s="318">
        <f>IF(AH23=700,"семьсот",IF(AH23=800,"восемьсот",IF(AH23=900,"девятьсот","")))</f>
      </c>
      <c r="AJ40" s="318"/>
      <c r="AK40" s="318"/>
      <c r="AL40" s="318"/>
      <c r="AM40" s="318"/>
    </row>
    <row r="41" spans="18:39" s="317" customFormat="1" ht="12" customHeight="1">
      <c r="R41" s="318"/>
      <c r="S41" s="318"/>
      <c r="T41" s="318"/>
      <c r="U41" s="318"/>
      <c r="V41" s="318"/>
      <c r="W41" s="318"/>
      <c r="X41" s="318"/>
      <c r="Y41" s="318"/>
      <c r="Z41" s="318"/>
      <c r="AA41" s="318"/>
      <c r="AB41" s="318"/>
      <c r="AC41" s="318"/>
      <c r="AD41" s="318"/>
      <c r="AE41" s="318"/>
      <c r="AF41" s="318"/>
      <c r="AG41" s="318"/>
      <c r="AH41" s="318"/>
      <c r="AI41" s="318"/>
      <c r="AJ41" s="318"/>
      <c r="AK41" s="318"/>
      <c r="AL41" s="318"/>
      <c r="AM41" s="318"/>
    </row>
    <row r="42" spans="18:39" s="317" customFormat="1" ht="12" customHeight="1">
      <c r="R42" s="318"/>
      <c r="S42" s="318"/>
      <c r="T42" s="318"/>
      <c r="U42" s="318"/>
      <c r="V42" s="318"/>
      <c r="W42" s="318"/>
      <c r="X42" s="318"/>
      <c r="Y42" s="318"/>
      <c r="Z42" s="318"/>
      <c r="AA42" s="318"/>
      <c r="AB42" s="318"/>
      <c r="AC42" s="318"/>
      <c r="AD42" s="318"/>
      <c r="AE42" s="318"/>
      <c r="AF42" s="318"/>
      <c r="AG42" s="318"/>
      <c r="AH42" s="318"/>
      <c r="AI42" s="318"/>
      <c r="AJ42" s="318"/>
      <c r="AK42" s="318"/>
      <c r="AL42" s="318"/>
      <c r="AM42" s="318"/>
    </row>
    <row r="43" s="317" customFormat="1" ht="12" customHeight="1"/>
    <row r="44" s="317" customFormat="1" ht="12" customHeight="1"/>
    <row r="45" s="315" customFormat="1" ht="12" customHeight="1"/>
    <row r="46" s="315" customFormat="1" ht="12" customHeight="1"/>
    <row r="47" s="315" customFormat="1" ht="12" customHeight="1"/>
    <row r="48" s="315" customFormat="1" ht="12" customHeight="1"/>
    <row r="49" s="315" customFormat="1" ht="12" customHeight="1"/>
    <row r="96" spans="1:4" ht="12.75">
      <c r="A96" s="572"/>
      <c r="B96" s="572"/>
      <c r="C96" s="572"/>
      <c r="D96" s="572"/>
    </row>
  </sheetData>
  <sheetProtection/>
  <mergeCells count="3">
    <mergeCell ref="N2:O2"/>
    <mergeCell ref="K3:M3"/>
    <mergeCell ref="A96:D96"/>
  </mergeCells>
  <dataValidations count="1">
    <dataValidation type="list" allowBlank="1" showInputMessage="1" showErrorMessage="1" sqref="AF1">
      <formula1>$AP$20:$AP$21</formula1>
    </dataValidation>
  </dataValidations>
  <printOptions/>
  <pageMargins left="0.75" right="0.75" top="1" bottom="1" header="0.5" footer="0.5"/>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shimanovich</dc:creator>
  <cp:keywords/>
  <dc:description/>
  <cp:lastModifiedBy>Козарез Алексей</cp:lastModifiedBy>
  <cp:lastPrinted>2019-02-06T12:37:01Z</cp:lastPrinted>
  <dcterms:created xsi:type="dcterms:W3CDTF">2013-11-15T08:39:09Z</dcterms:created>
  <dcterms:modified xsi:type="dcterms:W3CDTF">2021-03-17T10:17:31Z</dcterms:modified>
  <cp:category/>
  <cp:version/>
  <cp:contentType/>
  <cp:contentStatus/>
</cp:coreProperties>
</file>