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tabRatio="916" activeTab="0"/>
  </bookViews>
  <sheets>
    <sheet name="Расчет на срок &gt; 1 мес (мет.1)" sheetId="1" r:id="rId1"/>
    <sheet name="Расчет на срок &gt; 1 мес (мет.2)" sheetId="2" r:id="rId2"/>
    <sheet name="Расчет на срок &gt; 1 мес (мет.3)" sheetId="3" r:id="rId3"/>
    <sheet name="Бухгалтерская справка" sheetId="4" r:id="rId4"/>
    <sheet name="Расчет на срок &lt;1 мес (мет.1)" sheetId="5" r:id="rId5"/>
    <sheet name="Расчет на срок &lt;1 мес (мет.2)" sheetId="6" r:id="rId6"/>
    <sheet name="Расчет на срок &lt;1 мес (мет.3)" sheetId="7" r:id="rId7"/>
    <sheet name="Калькуляция 1 м-часа" sheetId="8" r:id="rId8"/>
    <sheet name="Калькуляция 1 м-ч (без топлива)" sheetId="9" r:id="rId9"/>
    <sheet name="топливо" sheetId="10" r:id="rId10"/>
    <sheet name="смазочные материалы" sheetId="11" r:id="rId11"/>
    <sheet name="ЗП" sheetId="12" r:id="rId12"/>
    <sheet name="расчет % ОПР" sheetId="13" r:id="rId13"/>
    <sheet name="расчет % ОХР" sheetId="14" r:id="rId14"/>
    <sheet name="Положение" sheetId="15" r:id="rId15"/>
  </sheets>
  <definedNames>
    <definedName name="_xlnm.Print_Area" localSheetId="3">'Бухгалтерская справка'!$B$2:$J$24</definedName>
    <definedName name="_xlnm.Print_Area" localSheetId="11">'ЗП'!$B$2:$P$22</definedName>
    <definedName name="_xlnm.Print_Area" localSheetId="8">'Калькуляция 1 м-ч (без топлива)'!$B$2:$J$39</definedName>
    <definedName name="_xlnm.Print_Area" localSheetId="7">'Калькуляция 1 м-часа'!$B$2:$J$39</definedName>
    <definedName name="_xlnm.Print_Area" localSheetId="12">'расчет % ОПР'!$B$2:$H$30</definedName>
    <definedName name="_xlnm.Print_Area" localSheetId="13">'расчет % ОХР'!$B$2:$H$34</definedName>
    <definedName name="_xlnm.Print_Area" localSheetId="4">'Расчет на срок &lt;1 мес (мет.1)'!$B$2:$J$35</definedName>
    <definedName name="_xlnm.Print_Area" localSheetId="5">'Расчет на срок &lt;1 мес (мет.2)'!$B$2:$J$33</definedName>
    <definedName name="_xlnm.Print_Area" localSheetId="6">'Расчет на срок &lt;1 мес (мет.3)'!$B$2:$J$32</definedName>
    <definedName name="_xlnm.Print_Area" localSheetId="0">'Расчет на срок &gt; 1 мес (мет.1)'!$B$2:$J$36</definedName>
    <definedName name="_xlnm.Print_Area" localSheetId="1">'Расчет на срок &gt; 1 мес (мет.2)'!$B$2:$J$33</definedName>
    <definedName name="_xlnm.Print_Area" localSheetId="2">'Расчет на срок &gt; 1 мес (мет.3)'!$B$2:$J$32</definedName>
    <definedName name="_xlnm.Print_Area" localSheetId="10">'смазочные материалы'!$B$2:$I$29</definedName>
    <definedName name="_xlnm.Print_Area" localSheetId="9">'топливо'!$B$2:$I$24</definedName>
  </definedNames>
  <calcPr fullCalcOnLoad="1"/>
</workbook>
</file>

<file path=xl/comments1.xml><?xml version="1.0" encoding="utf-8"?>
<comments xmlns="http://schemas.openxmlformats.org/spreadsheetml/2006/main">
  <authors>
    <author>u-jeenn</author>
  </authors>
  <commentList>
    <comment ref="D16" authorId="0">
      <text>
        <r>
          <rPr>
            <sz val="8"/>
            <rFont val="Tahoma"/>
            <family val="2"/>
          </rPr>
          <t>При определении арендной платы остаточная стоимость оборудования, транспортных средств (С</t>
        </r>
        <r>
          <rPr>
            <sz val="6"/>
            <rFont val="Tahoma"/>
            <family val="2"/>
          </rPr>
          <t>ост.</t>
        </r>
        <r>
          <rPr>
            <sz val="8"/>
            <rFont val="Tahoma"/>
            <family val="2"/>
          </rPr>
          <t xml:space="preserve">) устанавливается на основании данных бухгалтерского учета на 1 января года, в котором заключается договор аренды оборудования, транспортных средств.
</t>
        </r>
      </text>
    </comment>
    <comment ref="D17" authorId="0">
      <text>
        <r>
          <rPr>
            <sz val="8"/>
            <rFont val="Tahoma"/>
            <family val="2"/>
          </rPr>
          <t>Коэффициент изменения стоимости основных средств (К</t>
        </r>
        <r>
          <rPr>
            <sz val="6"/>
            <rFont val="Tahoma"/>
            <family val="2"/>
          </rPr>
          <t>ис.</t>
        </r>
        <r>
          <rPr>
            <sz val="8"/>
            <rFont val="Tahoma"/>
            <family val="2"/>
          </rPr>
          <t>) принимается на первое число месяца, предшествующего месяцу, в котором заключается договор аренды оборудования, транспортных средств, на основании данных, сообщаемых Национальным статистическим комитетом, характеризующих изменение стоимости основных средств за период с начала года, в котором заключается договор аренды.</t>
        </r>
      </text>
    </comment>
    <comment ref="D18" authorId="0">
      <text>
        <r>
          <rPr>
            <sz val="8"/>
            <rFont val="Tahoma"/>
            <family val="2"/>
          </rPr>
          <t xml:space="preserve">Коэффициент эффективности (Кэф.) принимается в расчете размеров арендной платы по договоренности сторон в пределах от 0,05 до 1,2 в зависимости от спроса на оборудование, транспортные средства, их технического состояния и коммерческой выгоды от сдачи в аренду.
</t>
        </r>
      </text>
    </comment>
  </commentList>
</comments>
</file>

<file path=xl/comments10.xml><?xml version="1.0" encoding="utf-8"?>
<comments xmlns="http://schemas.openxmlformats.org/spreadsheetml/2006/main">
  <authors>
    <author>Краснянский Евгений</author>
  </authors>
  <commentList>
    <comment ref="G10" authorId="0">
      <text>
        <r>
          <rPr>
            <sz val="8"/>
            <rFont val="Tahoma"/>
            <family val="2"/>
          </rPr>
          <t>Устанавливается в размере:
3% - с 1.04 по 31.10
5% - с 1.11 по 31.03</t>
        </r>
      </text>
    </comment>
  </commentList>
</comments>
</file>

<file path=xl/comments11.xml><?xml version="1.0" encoding="utf-8"?>
<comments xmlns="http://schemas.openxmlformats.org/spreadsheetml/2006/main">
  <authors>
    <author>Краснянский Евгений</author>
  </authors>
  <commentList>
    <comment ref="G10" authorId="0">
      <text>
        <r>
          <rPr>
            <sz val="8"/>
            <rFont val="Tahoma"/>
            <family val="2"/>
          </rPr>
          <t>Устанавливается в размере:
3% - с 1.04 по 31.10
5% - с 1.11 по 31.03</t>
        </r>
      </text>
    </comment>
  </commentList>
</comments>
</file>

<file path=xl/comments12.xml><?xml version="1.0" encoding="utf-8"?>
<comments xmlns="http://schemas.openxmlformats.org/spreadsheetml/2006/main">
  <authors>
    <author>Краснянский Евгений</author>
  </authors>
  <commentList>
    <comment ref="G8" authorId="0">
      <text>
        <r>
          <rPr>
            <sz val="8"/>
            <rFont val="Tahoma"/>
            <family val="2"/>
          </rPr>
          <t>Норма времени утверждается ежегодно. На 2011 год утверждена Пост. МинТруда и СЗ №135 от 01.10.2010 и равна для пятидневной рабочей недели с выходными днями в субботу и воскресенье – 2037 часов</t>
        </r>
      </text>
    </comment>
  </commentList>
</comments>
</file>

<file path=xl/comments15.xml><?xml version="1.0" encoding="utf-8"?>
<comments xmlns="http://schemas.openxmlformats.org/spreadsheetml/2006/main">
  <authors>
    <author>Краснянский Евгений</author>
  </authors>
  <commentList>
    <comment ref="B2" authorId="0">
      <text>
        <r>
          <rPr>
            <sz val="8"/>
            <rFont val="Tahoma"/>
            <family val="2"/>
          </rPr>
          <t xml:space="preserve">Утверждено:
Указ Президента
Республики Беларусь
23.10.2009 № 518
</t>
        </r>
      </text>
    </comment>
  </commentList>
</comments>
</file>

<file path=xl/comments2.xml><?xml version="1.0" encoding="utf-8"?>
<comments xmlns="http://schemas.openxmlformats.org/spreadsheetml/2006/main">
  <authors>
    <author>u-jeenn</author>
  </authors>
  <commentList>
    <comment ref="J2" authorId="0">
      <text>
        <r>
          <rPr>
            <sz val="8"/>
            <rFont val="Tahoma"/>
            <family val="2"/>
          </rPr>
          <t>Если определенный в соответствии с методикой-1 размер арендной платы от сдачи в аренду оборудования, транспортных средств не обеспечивает необходимой суммы амортизационных отчислений, налогов, сборов, других обязательных платежей в бюджет, уплачиваемых арендодателем согласно законодательству, арендная плата рассчитывается исходя из суммы амортизационных отчислений, оборотных налогов и налога на добавленную стоимость, прибыли исходя из рентабельности не более 15 процентов включительно.</t>
        </r>
      </text>
    </comment>
  </commentList>
</comments>
</file>

<file path=xl/comments3.xml><?xml version="1.0" encoding="utf-8"?>
<comments xmlns="http://schemas.openxmlformats.org/spreadsheetml/2006/main">
  <authors>
    <author>u-jeenn</author>
  </authors>
  <commentList>
    <comment ref="J2" authorId="0">
      <text>
        <r>
          <rPr>
            <sz val="8"/>
            <rFont val="Tahoma"/>
            <family val="2"/>
          </rPr>
          <t>Если по сдаваемому в аренду оборудованию, транспортным средствам начислена амортизация 90 и более процентов, включая полностью самортизированное оборудование, транспортные средства, арендная плата за месяц рассчитывается исходя из остаточной стоимости оборудования, транспортных средств, коэффициента эффективности, суммы налогов, сборов, других обязательных платежей в бюджет (методика 3)</t>
        </r>
      </text>
    </comment>
    <comment ref="D16" authorId="0">
      <text>
        <r>
          <rPr>
            <sz val="8"/>
            <rFont val="Tahoma"/>
            <family val="2"/>
          </rPr>
          <t xml:space="preserve">Коэффициент эффективности (Кэф.) принимается в расчете размеров арендной платы по договоренности сторон в пределах от 0,05 до 1,2 в зависимости от спроса на оборудование, транспортные средства, их технического состояния и коммерческой выгоды от сдачи в аренду.
</t>
        </r>
      </text>
    </comment>
  </commentList>
</comments>
</file>

<file path=xl/comments5.xml><?xml version="1.0" encoding="utf-8"?>
<comments xmlns="http://schemas.openxmlformats.org/spreadsheetml/2006/main">
  <authors>
    <author>u-jeenn</author>
    <author>Краснянский Евгений</author>
  </authors>
  <commentList>
    <comment ref="D15" authorId="0">
      <text>
        <r>
          <rPr>
            <sz val="8"/>
            <rFont val="Tahoma"/>
            <family val="2"/>
          </rPr>
          <t>При определении арендной платы остаточная стоимость оборудования, транспортных средств (С</t>
        </r>
        <r>
          <rPr>
            <sz val="6"/>
            <rFont val="Tahoma"/>
            <family val="2"/>
          </rPr>
          <t>ост.</t>
        </r>
        <r>
          <rPr>
            <sz val="8"/>
            <rFont val="Tahoma"/>
            <family val="2"/>
          </rPr>
          <t xml:space="preserve">) устанавливается на основании данных бухгалтерского учета на 1 января года, в котором заключается договор аренды оборудования, транспортных средств.
</t>
        </r>
      </text>
    </comment>
    <comment ref="D16" authorId="0">
      <text>
        <r>
          <rPr>
            <sz val="8"/>
            <rFont val="Tahoma"/>
            <family val="2"/>
          </rPr>
          <t>Коэффициент изменения стоимости основных средств (К</t>
        </r>
        <r>
          <rPr>
            <sz val="6"/>
            <rFont val="Tahoma"/>
            <family val="2"/>
          </rPr>
          <t>ис.</t>
        </r>
        <r>
          <rPr>
            <sz val="8"/>
            <rFont val="Tahoma"/>
            <family val="2"/>
          </rPr>
          <t>) принимается на первое число месяца, предшествующего месяцу, в котором заключается договор аренды оборудования, транспортных средств, на основании данных, сообщаемых Национальным статистическим комитетом, характеризующих изменение стоимости основных средств за период с начала года, в котором заключается договор аренды.</t>
        </r>
      </text>
    </comment>
    <comment ref="D17" authorId="0">
      <text>
        <r>
          <rPr>
            <sz val="8"/>
            <rFont val="Tahoma"/>
            <family val="2"/>
          </rPr>
          <t xml:space="preserve">Коэффициент эффективности (Кэф.) принимается в расчете размеров арендной платы по договоренности сторон в пределах от 0,05 до 1,2 в зависимости от спроса на оборудование, транспортные средства, их технического состояния и коммерческой выгоды от сдачи в аренду.
</t>
        </r>
      </text>
    </comment>
    <comment ref="D22" authorId="1">
      <text>
        <r>
          <rPr>
            <sz val="8"/>
            <rFont val="Tahoma"/>
            <family val="2"/>
          </rPr>
          <t>При почасовой аренде оборудования, транспортных средств размер арендной платы рассчитывается за час исходя из размера арендной платы, определенного за месяц, деленного на расчетную среднемесячную норму рабочего времени при 40-часовой рабочей неделе для 5-дневной рабочей недели.
В расчет почасовой арендной платы принимается расчетная среднемесячная норма рабочего времени, утвержденная Министерством труда и социальной защиты на год, в котором заключен договор аренды оборудования, транспортных средств. Норма времени утверждается ежегодно. На 2010 год утверждена Пост. МинТруда и СЗ №120 от 01.10.2009 и равна для пятидневной рабочей недели с выходными днями в субботу и воскресенье – 2050 часов</t>
        </r>
      </text>
    </comment>
  </commentList>
</comments>
</file>

<file path=xl/comments6.xml><?xml version="1.0" encoding="utf-8"?>
<comments xmlns="http://schemas.openxmlformats.org/spreadsheetml/2006/main">
  <authors>
    <author>Краснянский Евгений</author>
    <author>u-jeenn</author>
  </authors>
  <commentList>
    <comment ref="D20" authorId="0">
      <text>
        <r>
          <rPr>
            <sz val="8"/>
            <rFont val="Tahoma"/>
            <family val="2"/>
          </rPr>
          <t>При почасовой аренде оборудования, транспортных средств размер арендной платы рассчитывается за час исходя из размера арендной платы, определенного за месяц, деленного на расчетную среднемесячную норму рабочего времени при 40-часовой рабочей неделе для 5-дневной рабочей недели.
В расчет почасовой арендной платы принимается расчетная среднемесячная норма рабочего времени, утвержденная Министерством труда и социальной защиты на год, в котором заключен договор аренды оборудования, транспортных средств. Норма времени утверждается ежегодно. На 2010 год утверждена Пост. МинТруда и СЗ №120 от 01.10.2009 и равна для пятидневной рабочей недели с выходными днями в субботу и воскресенье – 2050 часов</t>
        </r>
      </text>
    </comment>
    <comment ref="J2" authorId="1">
      <text>
        <r>
          <rPr>
            <sz val="8"/>
            <rFont val="Tahoma"/>
            <family val="2"/>
          </rPr>
          <t>Если определенный в соответствии с методикой-1 размер арендной платы от сдачи в аренду оборудования, транспортных средств не обеспечивает необходимой суммы амортизационных отчислений, налогов, сборов, других обязательных платежей в бюджет, уплачиваемых арендодателем согласно законодательству, арендная плата рассчитывается исходя из суммы амортизационных отчислений, оборотных налогов и налога на добавленную стоимость, прибыли исходя из рентабельности не более 15 процентов включительно.</t>
        </r>
      </text>
    </comment>
  </commentList>
</comments>
</file>

<file path=xl/comments7.xml><?xml version="1.0" encoding="utf-8"?>
<comments xmlns="http://schemas.openxmlformats.org/spreadsheetml/2006/main">
  <authors>
    <author>u-jeenn</author>
    <author>Краснянский Евгений</author>
  </authors>
  <commentList>
    <comment ref="J2" authorId="0">
      <text>
        <r>
          <rPr>
            <sz val="8"/>
            <rFont val="Tahoma"/>
            <family val="2"/>
          </rPr>
          <t>Если определенный в соответствии с методикой-1 размер арендной платы от сдачи в аренду оборудования, транспортных средств не обеспечивает необходимой суммы амортизационных отчислений, налогов, сборов, других обязательных платежей в бюджет, уплачиваемых арендодателем согласно законодательству, арендная плата рассчитывается исходя из суммы амортизационных отчислений, оборотных налогов и налога на добавленную стоимость, прибыли исходя из рентабельности не более 15 процентов включительно.</t>
        </r>
      </text>
    </comment>
    <comment ref="D16" authorId="0">
      <text>
        <r>
          <rPr>
            <sz val="8"/>
            <rFont val="Tahoma"/>
            <family val="2"/>
          </rPr>
          <t xml:space="preserve">Коэффициент эффективности (Кэф.) принимается в расчете размеров арендной платы по договоренности сторон в пределах от 0,05 до 1,2 в зависимости от спроса на оборудование, транспортные средства, их технического состояния и коммерческой выгоды от сдачи в аренду.
</t>
        </r>
      </text>
    </comment>
    <comment ref="D19" authorId="1">
      <text>
        <r>
          <rPr>
            <sz val="8"/>
            <rFont val="Tahoma"/>
            <family val="2"/>
          </rPr>
          <t>При почасовой аренде оборудования, транспортных средств размер арендной платы рассчитывается за час исходя из размера арендной платы, определенного за месяц, деленного на расчетную среднемесячную норму рабочего времени при 40-часовой рабочей неделе для 5-дневной рабочей недели.
В расчет почасовой арендной платы принимается расчетная среднемесячная норма рабочего времени, утвержденная Министерством труда и социальной защиты на год, в котором заключен договор аренды оборудования, транспортных средств. Норма времени утверждается ежегодно. На 2010 год утверждена Пост. МинТруда и СЗ №120 от 01.10.2009 и равна для пятидневной рабочей недели с выходными днями в субботу и воскресенье – 2050 часов</t>
        </r>
      </text>
    </comment>
  </commentList>
</comments>
</file>

<file path=xl/sharedStrings.xml><?xml version="1.0" encoding="utf-8"?>
<sst xmlns="http://schemas.openxmlformats.org/spreadsheetml/2006/main" count="739" uniqueCount="230">
  <si>
    <t>Синий цвет цифр обозначает, что заполнение данных ячеек происходит автоматически.</t>
  </si>
  <si>
    <t>№ п/п</t>
  </si>
  <si>
    <t>Сумма, рублей</t>
  </si>
  <si>
    <t>Премия</t>
  </si>
  <si>
    <t>Итого</t>
  </si>
  <si>
    <t>Главный бухгалтер</t>
  </si>
  <si>
    <t xml:space="preserve">Экономист </t>
  </si>
  <si>
    <t>Утверждаю</t>
  </si>
  <si>
    <t>"_____" ______________ 20___ г.</t>
  </si>
  <si>
    <t>подпись</t>
  </si>
  <si>
    <t>Петрова А.А.</t>
  </si>
  <si>
    <t>Сидорова А.А.</t>
  </si>
  <si>
    <t>Калькуляция</t>
  </si>
  <si>
    <t>Наименование статей</t>
  </si>
  <si>
    <t>Установленный %</t>
  </si>
  <si>
    <t>Иванов С.Т.</t>
  </si>
  <si>
    <t>Дополнительная заработная плата</t>
  </si>
  <si>
    <t>Отчисления ФСЗН</t>
  </si>
  <si>
    <t>Обязательное страхование</t>
  </si>
  <si>
    <t>Общехозяйственные расходы</t>
  </si>
  <si>
    <t>Производственная себестоимость</t>
  </si>
  <si>
    <t>Инновационный фонд</t>
  </si>
  <si>
    <t>Полная себестоимость</t>
  </si>
  <si>
    <t>Прибыль</t>
  </si>
  <si>
    <t>Цена без НДС</t>
  </si>
  <si>
    <t>Налог на добавленную стоимость</t>
  </si>
  <si>
    <t>Цена с НДС</t>
  </si>
  <si>
    <t>Расчет</t>
  </si>
  <si>
    <t>Наименование профессии</t>
  </si>
  <si>
    <t>Тарифный оклад, руб.</t>
  </si>
  <si>
    <t>Повышение при заключении контракта</t>
  </si>
  <si>
    <t>Годовой ФОТ по ставкам, руб.</t>
  </si>
  <si>
    <t>Вознаграждение за выслугу лет</t>
  </si>
  <si>
    <t>Надбавка за профмастерство (классность)</t>
  </si>
  <si>
    <t>Итого ФОТ, руб.</t>
  </si>
  <si>
    <t>Себестоимость 1 чел.-ч, руб.</t>
  </si>
  <si>
    <t>руб.</t>
  </si>
  <si>
    <t>%</t>
  </si>
  <si>
    <t>ФОТ, руб.</t>
  </si>
  <si>
    <t>Кол-во штатных единиц</t>
  </si>
  <si>
    <t>Тарифный коэф-т</t>
  </si>
  <si>
    <t>Тарифная ставка 1-го разряда</t>
  </si>
  <si>
    <t xml:space="preserve">Часовая тарифная справка 1-го разряда </t>
  </si>
  <si>
    <t>часов</t>
  </si>
  <si>
    <t>рублей</t>
  </si>
  <si>
    <t>коэф-т</t>
  </si>
  <si>
    <t>Повышение по постановлению Совета Министров РБ от 09.11.1999 № 1748</t>
  </si>
  <si>
    <t>Тарифная ставка, руб.</t>
  </si>
  <si>
    <t>Доплата за вредность</t>
  </si>
  <si>
    <t>годовой фонд рабочего времени, ч</t>
  </si>
  <si>
    <t>процента общепроизводственных расходов</t>
  </si>
  <si>
    <t>Статьи затрат</t>
  </si>
  <si>
    <t>Темп роста, %</t>
  </si>
  <si>
    <t>Факт за предыдущий период</t>
  </si>
  <si>
    <t xml:space="preserve">Оплата труда цехового персонала  </t>
  </si>
  <si>
    <t>Обязательные отчисления в ФСЗН</t>
  </si>
  <si>
    <t>Страхование от несчастных случаев</t>
  </si>
  <si>
    <t>Ремонт  зданий, оборудования</t>
  </si>
  <si>
    <t>Амортизация зданий, сооружений</t>
  </si>
  <si>
    <t xml:space="preserve">Содержание зданий </t>
  </si>
  <si>
    <t>Вода и канализация</t>
  </si>
  <si>
    <t xml:space="preserve">Электроэнергия и теплоэнергия на отопление и освещение </t>
  </si>
  <si>
    <t>Налог на землю</t>
  </si>
  <si>
    <t>Расходы на подготовку и переподготовку кадров</t>
  </si>
  <si>
    <t>Командировочные расходы цехового персонала</t>
  </si>
  <si>
    <t>Расходы на охрану труда</t>
  </si>
  <si>
    <t>Спецоснастка и спецодежда в эксплуатации</t>
  </si>
  <si>
    <t>Инвентарь и хозпринадлежности в экплуатации</t>
  </si>
  <si>
    <t>Страхование пенсий</t>
  </si>
  <si>
    <t>Услуги банка</t>
  </si>
  <si>
    <t>Услуги автотранспортных организаций</t>
  </si>
  <si>
    <t>Обязательное страхование  гражданской ответственности</t>
  </si>
  <si>
    <t>Прочие расходы</t>
  </si>
  <si>
    <t>Заработная плата основного персонала</t>
  </si>
  <si>
    <t>Расчет процента общепроизводственных расходов</t>
  </si>
  <si>
    <t>тыс. руб</t>
  </si>
  <si>
    <t>Заработная плата аппарата управления</t>
  </si>
  <si>
    <t>Текущий ремонт зданий</t>
  </si>
  <si>
    <t>Амортизация зданий, сооружений, прочих основных средств</t>
  </si>
  <si>
    <t>Содержание зданий (дератизация, вывоз мусора, моющие средства т.п.)</t>
  </si>
  <si>
    <t>Электроэнергия и теплоэнергия на отопление и освещение</t>
  </si>
  <si>
    <t>Услуги связи</t>
  </si>
  <si>
    <t>Канцелярские и почтово-телеграфные расходы</t>
  </si>
  <si>
    <t>Командировочные расходы</t>
  </si>
  <si>
    <t>Спецпитание</t>
  </si>
  <si>
    <t>Расходы на охрану труда и технику безопасности</t>
  </si>
  <si>
    <t>Услуги сторожевой и пожарной охраны</t>
  </si>
  <si>
    <t>Информационные услуги</t>
  </si>
  <si>
    <t>Консультационные услуги</t>
  </si>
  <si>
    <t>Содержание служебного легкового автотранспорта</t>
  </si>
  <si>
    <t>Расчет процента общехозяйственных расходов</t>
  </si>
  <si>
    <t>План на расчетный период</t>
  </si>
  <si>
    <t>процента общехозяйственных расходов</t>
  </si>
  <si>
    <t>Смазочные материалы</t>
  </si>
  <si>
    <t>Топливо</t>
  </si>
  <si>
    <t>Затраты на техническое обслуживание</t>
  </si>
  <si>
    <t xml:space="preserve">Обязательные отчисления в ФСЗН </t>
  </si>
  <si>
    <t>Расчет суммы арендной платы на:</t>
  </si>
  <si>
    <t>единица измерения</t>
  </si>
  <si>
    <t>Обозначение</t>
  </si>
  <si>
    <t>Остаточная стоимость оборудования (транспортных средств)</t>
  </si>
  <si>
    <t>Коэффициент изменения стоимости основных средств</t>
  </si>
  <si>
    <t>Коэффициент эффективности</t>
  </si>
  <si>
    <t>Размер арендной платы (месячный) с НДС</t>
  </si>
  <si>
    <t>Сумма амортизационных отчислений за месяц по арендуемому оборудованию</t>
  </si>
  <si>
    <t>Количество месяцев</t>
  </si>
  <si>
    <t>Размер арендной платы за период с НДС</t>
  </si>
  <si>
    <t>мес.</t>
  </si>
  <si>
    <t>Ст.НДС</t>
  </si>
  <si>
    <t>К</t>
  </si>
  <si>
    <r>
      <t>С</t>
    </r>
    <r>
      <rPr>
        <sz val="6"/>
        <rFont val="Tahoma"/>
        <family val="2"/>
      </rPr>
      <t>ост</t>
    </r>
  </si>
  <si>
    <r>
      <t>К</t>
    </r>
    <r>
      <rPr>
        <sz val="6"/>
        <rFont val="Tahoma"/>
        <family val="2"/>
      </rPr>
      <t>ис</t>
    </r>
  </si>
  <si>
    <r>
      <t>А</t>
    </r>
    <r>
      <rPr>
        <sz val="6"/>
        <rFont val="Tahoma"/>
        <family val="2"/>
      </rPr>
      <t>пл</t>
    </r>
  </si>
  <si>
    <r>
      <t>А</t>
    </r>
    <r>
      <rPr>
        <sz val="6"/>
        <rFont val="Tahoma"/>
        <family val="2"/>
      </rPr>
      <t>м</t>
    </r>
  </si>
  <si>
    <r>
      <t>А</t>
    </r>
    <r>
      <rPr>
        <sz val="6"/>
        <rFont val="Tahoma"/>
        <family val="2"/>
      </rPr>
      <t>пл (период)</t>
    </r>
  </si>
  <si>
    <t>Проверка условия: сумма аренды больше амортизационных отчислений за месяц). Если значение равно "нет" используется методика 2</t>
  </si>
  <si>
    <t>в т.ч. НДС</t>
  </si>
  <si>
    <r>
      <t>К</t>
    </r>
    <r>
      <rPr>
        <sz val="6"/>
        <rFont val="Tahoma"/>
        <family val="2"/>
      </rPr>
      <t>эф</t>
    </r>
    <r>
      <rPr>
        <sz val="8"/>
        <rFont val="Tahoma"/>
        <family val="2"/>
      </rPr>
      <t xml:space="preserve"> </t>
    </r>
  </si>
  <si>
    <t>(наименование техники (оборудования))</t>
  </si>
  <si>
    <t>(период предоставления техники (оборудования) в аренду)</t>
  </si>
  <si>
    <t>Начисленный процент износа</t>
  </si>
  <si>
    <t>Рентабельность</t>
  </si>
  <si>
    <t>Ставка НДС</t>
  </si>
  <si>
    <t>Сумма НДС</t>
  </si>
  <si>
    <t>Р</t>
  </si>
  <si>
    <t>Значение</t>
  </si>
  <si>
    <t>Восстановительная стоимость оборудования (транспортных средств)</t>
  </si>
  <si>
    <r>
      <t>С</t>
    </r>
    <r>
      <rPr>
        <sz val="6"/>
        <rFont val="Tahoma"/>
        <family val="2"/>
      </rPr>
      <t>вост</t>
    </r>
  </si>
  <si>
    <t xml:space="preserve">директор </t>
  </si>
  <si>
    <t>РДУП "Автомобильный парк № 555"</t>
  </si>
  <si>
    <t>Бухгалтерская справка</t>
  </si>
  <si>
    <t>за</t>
  </si>
  <si>
    <t>О размере фактических затрат по управлению и эксплуатации:</t>
  </si>
  <si>
    <t>Заработная плата</t>
  </si>
  <si>
    <t>Начисления на заработную плату</t>
  </si>
  <si>
    <t>Общепроизводственные расходы</t>
  </si>
  <si>
    <t>Итого сумма фактических затрат</t>
  </si>
  <si>
    <t>часа</t>
  </si>
  <si>
    <t>01.11.2010г.</t>
  </si>
  <si>
    <t>(количество часов и дата предоставления техники  в аренду)</t>
  </si>
  <si>
    <t>Среднемесячное количество часов</t>
  </si>
  <si>
    <r>
      <t>М</t>
    </r>
    <r>
      <rPr>
        <sz val="6"/>
        <rFont val="Tahoma"/>
        <family val="2"/>
      </rPr>
      <t>ФРВ</t>
    </r>
  </si>
  <si>
    <t>стоимости 1 машино-часа управления спецмеханизмом (с топливом):</t>
  </si>
  <si>
    <t>Амортизация</t>
  </si>
  <si>
    <t>Цеховые расходы</t>
  </si>
  <si>
    <t>Цена топлива:</t>
  </si>
  <si>
    <t>дизельное топливо</t>
  </si>
  <si>
    <t>нормаль-80</t>
  </si>
  <si>
    <t>Стоимость топлива за 1 маш.-ч</t>
  </si>
  <si>
    <t>затрат на топливо за 1 маш.-ч для спецтехники:</t>
  </si>
  <si>
    <t>3.1</t>
  </si>
  <si>
    <t>3.2</t>
  </si>
  <si>
    <t>Норма расхода топлива на 1 пуск, Н-80 от ДТ</t>
  </si>
  <si>
    <t>Наличие пускателя. Если пускатель есть - поставьте в ячейку g27 цифру 1; если нет - оставьте ячейку незаполненной.</t>
  </si>
  <si>
    <t>Вид топлива. Если спецтехника работает на дизельном топливе - поставьте цифру 1, если на Н-80 - оставьте ячейку незаполненной</t>
  </si>
  <si>
    <t>затрат на смазочные материалы за 1 маш.час для спецтехники:</t>
  </si>
  <si>
    <t>Норма расхода смазочных материалов:</t>
  </si>
  <si>
    <t>моторное</t>
  </si>
  <si>
    <t>трансмиссионное</t>
  </si>
  <si>
    <t>индустриальное</t>
  </si>
  <si>
    <t>пластичные смазки</t>
  </si>
  <si>
    <t>Цена смазочных материалов:</t>
  </si>
  <si>
    <t>Стоимость смазочных материалов за 1 маш.-час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</si>
  <si>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</si>
  <si>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</si>
  <si>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</si>
  <si>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</si>
  <si>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</si>
  <si>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</si>
  <si>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</si>
  <si>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</si>
  <si>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</si>
  <si>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</si>
  <si>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Разряд</t>
  </si>
  <si>
    <t>Машинист бульдозера</t>
  </si>
  <si>
    <t>суммы арендной платы на:</t>
  </si>
  <si>
    <t>Расчет суммы арендной платы на срок месяц и более (методика 1)</t>
  </si>
  <si>
    <t>Расчет суммы арендной платы на срок месяц и более (методика 2)</t>
  </si>
  <si>
    <t>Расчет суммы арендной платы на срок месяц и более (методика 3)</t>
  </si>
  <si>
    <t>Расчет суммы арендной платы на срок менее месяца (методика 1)</t>
  </si>
  <si>
    <t>Расчет суммы арендной платы на срок менее месяца (методика 2)</t>
  </si>
  <si>
    <t>Расчет суммы арендной платы на срок менее месяца (методика 3)</t>
  </si>
  <si>
    <t>Бухгалтерская справка о размере фактических затрат по управлению и эксплуатации</t>
  </si>
  <si>
    <t>Калькуляция стоимости 1 машино-часа управления спецмеханизмом (с топливом)</t>
  </si>
  <si>
    <t>Калькуляция стоимости 1 машино-часа управления спецмеханизмом (без топлива)</t>
  </si>
  <si>
    <t>Расчет затрат на топливо за 1 маш.-ч для спецтехники</t>
  </si>
  <si>
    <t>Расчет затрат на смазочные материалы за 1 маш.час для спецтехники</t>
  </si>
  <si>
    <t xml:space="preserve"> затрат на заработную плату за 1 маш.-час для спецтехники:</t>
  </si>
  <si>
    <t>Расчет  затрат на заработную плату за 1 маш.-час для спецтехники</t>
  </si>
  <si>
    <t>октябрь-ноябрь 2010 г.</t>
  </si>
  <si>
    <t>Бульдозер PR722 Litronic</t>
  </si>
  <si>
    <t>Технологи- ческий коэф-т</t>
  </si>
  <si>
    <t>2. В арендную плату от сдачи в аренду оборудования, транспортных средств, определенную в соответствии с настоящим Положением, включаются амортизационные отчисления, а также все налоги, сборы, другие обязательные платежи в бюджет, уплачиваемые арендодателем согласно законодательству.</t>
  </si>
  <si>
    <t>3. Расходы арендодателя на обслуживание, энергообеспечение и другие расходы, связанные с работой арендуемого оборудования, не включаются в арендную плату и оплачиваются арендатором отдельно по договоренности сторон на основании фактических затрат. Их оплата может производиться на основании договоров, заключаемых между арендодателем и арендатором.</t>
  </si>
  <si>
    <t>4. При сдаче в аренду транспортных средств с предоставлением арендодателем услуг по управлению этими транспортными средствами и их технической эксплуатации арендатор кроме арендной платы, определенной в соответствии с настоящим Положением, оплачивает арендодателю стоимость данных услуг, которая определяется арендодателем согласно законодательству о порядке формирования и применения цен и тарифов и указывается в договоре аренды.</t>
  </si>
  <si>
    <t>5. Размер арендной платы, полученной от сдачи в аренду оборудования, транспортных средств, не должен быть ниже суммы амортизационных отчислений, налогов, сборов, других обязательных платежей в бюджет, уплачиваемых арендодателем в соответствии с законодательством.</t>
  </si>
  <si>
    <t>6. Арендная плата определяется за месяц исходя из остаточной стоимости оборудования, транспортных средств, коэффициента эффективности, суммы налогов, сборов, других обязательных платежей в бюджет по следующей формуле:</t>
  </si>
  <si>
    <t>При определении арендной платы остаточная стоимость оборудования, транспортных средств (Сост.) устанавливается на основании данных бухгалтерского учета на 1 января года, в котором заключается договор аренды оборудования, транспортных средств.</t>
  </si>
  <si>
    <t>Коэффициент изменения стоимости основных средств (Кис.) принимается на первое число месяца, предшествующего месяцу, в котором заключается договор аренды оборудования, транспортных средств, на основании данных, сообщаемых Национальным статистическим комитетом, характеризующих изменение стоимости основных средств за период с начала года, в котором заключается договор аренды.</t>
  </si>
  <si>
    <t>Коэффициент эффективности (Кэф.) принимается в расчете размеров арендной платы по договоренности сторон в пределах от 0,05 до 1,2 в зависимости от спроса на оборудование, транспортные средства, их технического состояния и коммерческой выгоды от сдачи в аренду.</t>
  </si>
  <si>
    <t>7. Если определенный в соответствии с пунктом 6 настоящего Положения размер арендной платы от сдачи в аренду оборудования, транспортных средств не обеспечивает необходимой суммы амортизационных отчислений, налогов, сборов, других обязательных платежей в бюджет, уплачиваемых арендодателем согласно законодательству, арендная плата рассчитывается исходя из суммы амортизационных отчислений, оборотных налогов и налога на добавленную стоимость, прибыли исходя из рентабельности не более 15 процентов включительно.</t>
  </si>
  <si>
    <t>При этом арендная плата за месяц определяется по следующей формуле:</t>
  </si>
  <si>
    <t>Р – процент рентабельности.</t>
  </si>
  <si>
    <t>8. Если по сдаваемому в аренду оборудованию, транспортным средствам начислена амортизация 90 и более процентов, включая полностью самортизированное оборудование, транспортные средства, арендная плата за месяц рассчитывается исходя из остаточной стоимости оборудования, транспортных средств, коэффициента эффективности, суммы налогов, сборов, других обязательных платежей в бюджет по следующей формуле:</t>
  </si>
  <si>
    <t>Восстановительная стоимость оборудования, транспортных средств (Свост.) принимается на основании данных бухгалтерского учета на 1 января года, в котором заключается договор аренды оборудования, транспортных средств.</t>
  </si>
  <si>
    <t>9. При почасовой аренде оборудования, транспортных средств размер арендной платы рассчитывается за час исходя из размера арендной платы, определенного за месяц, деленного на расчетную среднемесячную норму рабочего времени при 40-часовой рабочей неделе для 5-дневной рабочей недели.</t>
  </si>
  <si>
    <t>В расчет почасовой арендной платы принимается расчетная среднемесячная норма рабочего времени, утвержденная Министерством труда и социальной защиты на год, в котором заключен договор аренды оборудования, транспортных средств.</t>
  </si>
  <si>
    <t>10. Определенный согласно настоящему Положению размер арендной платы указывается в договоре аренды.</t>
  </si>
  <si>
    <t>11. Требования, предусмотренные в пунктах 6–10 настоящего Положения, не применяются при определении размеров арендной платы при сдаче в аренду железнодорожных транспортных средств, предназначенных для перевозки грузов и багажа, находящихся в республиканской собственности. Расчет размеров данной платы производится в порядке, устанавливаемом Советом Министров Республики Беларусь.</t>
  </si>
  <si>
    <t>12. Арендная плата производится арендатором в белорусских рублях.</t>
  </si>
  <si>
    <t>13. В период действия договора аренды при изменении коэффициентов стоимости основных средств, сообщаемых Национальным статистическим комитетом, и проведении переоценки основных средств размер арендной платы не пересматривается.</t>
  </si>
  <si>
    <t>14. При изменении в период действия договора аренды налогового законодательства в размер арендной платы вносятся соответствующие изменения.</t>
  </si>
  <si>
    <t>15. В случае передачи оборудования, транспортных средств в субаренду размеры арендной платы для субарендатора устанавливаются в соответствии с настоящим Положением.</t>
  </si>
  <si>
    <t>16. При сдаче в аренду оборудования, находящегося на территории Республики Беларусь, и транспортных средств, зарегистрированных в Республике Беларусь, нерезидентам Республики Беларусь размер арендной платы определяется по соглашению сторон, но он не должен быть ниже размера арендной платы, установленного в соответствии с настоящим Положением.</t>
  </si>
  <si>
    <t>17. При сдаче в аренду оборудования, находящегося за пределами территории Республики Беларусь, и транспортных средств, зарегистрированных за пределами Республики Беларусь, размер арендной платы определяется по соглашению сторон и согласованию с соответствующим республиканским органом государственного управления и иной государственной организацией, подчиненной Правительству Республики Беларусь, Национальным банком, Администрацией Президента Республики Беларусь, Управлением делами Президента Республики Беларусь, другим государственным органом и иной государственной организацией, подчиненной Президенту Республики Беларусь, Национальной академией наук Беларуси, Генеральной прокуратурой, если иное не установлено международными договорами Республики Беларусь.</t>
  </si>
  <si>
    <t>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</t>
  </si>
  <si>
    <t xml:space="preserve"> 1. Настоящим Положением устанавливается порядок определения размеров арендной платы при сдаче в аренду оборудования, транспортных средств, в том числе воздушных судов, находящихся в государственной собственности (далее – оборудование, транспортные средства).</t>
  </si>
  <si>
    <r>
      <t>А</t>
    </r>
    <r>
      <rPr>
        <sz val="8"/>
        <rFont val="Tahoma"/>
        <family val="2"/>
      </rPr>
      <t>пл</t>
    </r>
    <r>
      <rPr>
        <sz val="10"/>
        <rFont val="Tahoma"/>
        <family val="2"/>
      </rPr>
      <t>. – арендная плата за месяц, рублей;</t>
    </r>
  </si>
  <si>
    <r>
      <t>С</t>
    </r>
    <r>
      <rPr>
        <sz val="8"/>
        <rFont val="Tahoma"/>
        <family val="2"/>
      </rPr>
      <t>ост.</t>
    </r>
    <r>
      <rPr>
        <sz val="10"/>
        <rFont val="Tahoma"/>
        <family val="2"/>
      </rPr>
      <t> – остаточная стоимость оборудования, транспортных средств, рублей;</t>
    </r>
  </si>
  <si>
    <r>
      <t>К</t>
    </r>
    <r>
      <rPr>
        <sz val="8"/>
        <rFont val="Tahoma"/>
        <family val="2"/>
      </rPr>
      <t>ис</t>
    </r>
    <r>
      <rPr>
        <sz val="10"/>
        <rFont val="Tahoma"/>
        <family val="2"/>
      </rPr>
      <t>. – коэффициент изменения стоимости основных средств;</t>
    </r>
  </si>
  <si>
    <r>
      <t>К</t>
    </r>
    <r>
      <rPr>
        <sz val="8"/>
        <rFont val="Tahoma"/>
        <family val="2"/>
      </rPr>
      <t>эф</t>
    </r>
    <r>
      <rPr>
        <sz val="10"/>
        <rFont val="Tahoma"/>
        <family val="2"/>
      </rPr>
      <t>. – коэффициент эффективности;</t>
    </r>
  </si>
  <si>
    <r>
      <t>H</t>
    </r>
    <r>
      <rPr>
        <sz val="8"/>
        <rFont val="Tahoma"/>
        <family val="2"/>
      </rPr>
      <t>сб. </t>
    </r>
    <r>
      <rPr>
        <sz val="10"/>
        <rFont val="Tahoma"/>
        <family val="2"/>
      </rPr>
      <t>– сумма оборотных налогов и налога на добавленную стоимость, рублей.</t>
    </r>
  </si>
  <si>
    <r>
      <t>А</t>
    </r>
    <r>
      <rPr>
        <sz val="8"/>
        <rFont val="Tahoma"/>
        <family val="2"/>
      </rPr>
      <t>пл</t>
    </r>
    <r>
      <rPr>
        <sz val="10"/>
        <rFont val="Tahoma"/>
        <family val="2"/>
      </rPr>
      <t>. = (С</t>
    </r>
    <r>
      <rPr>
        <sz val="8"/>
        <rFont val="Tahoma"/>
        <family val="2"/>
      </rPr>
      <t>ост</t>
    </r>
    <r>
      <rPr>
        <sz val="10"/>
        <rFont val="Tahoma"/>
        <family val="2"/>
      </rPr>
      <t>.  x К</t>
    </r>
    <r>
      <rPr>
        <sz val="8"/>
        <rFont val="Tahoma"/>
        <family val="2"/>
      </rPr>
      <t>ис</t>
    </r>
    <r>
      <rPr>
        <sz val="10"/>
        <rFont val="Tahoma"/>
        <family val="2"/>
      </rPr>
      <t>. x К</t>
    </r>
    <r>
      <rPr>
        <sz val="8"/>
        <rFont val="Tahoma"/>
        <family val="2"/>
      </rPr>
      <t>эф</t>
    </r>
    <r>
      <rPr>
        <sz val="10"/>
        <rFont val="Tahoma"/>
        <family val="2"/>
      </rPr>
      <t>.)/12+ H</t>
    </r>
    <r>
      <rPr>
        <sz val="8"/>
        <rFont val="Tahoma"/>
        <family val="2"/>
      </rPr>
      <t>сб</t>
    </r>
    <r>
      <rPr>
        <sz val="10"/>
        <rFont val="Tahoma"/>
        <family val="2"/>
      </rPr>
      <t>., где</t>
    </r>
  </si>
  <si>
    <r>
      <t>А</t>
    </r>
    <r>
      <rPr>
        <sz val="8"/>
        <rFont val="Gbinfo"/>
        <family val="0"/>
      </rPr>
      <t>пл.</t>
    </r>
    <r>
      <rPr>
        <sz val="10"/>
        <rFont val="Gbinfo"/>
        <family val="0"/>
      </rPr>
      <t xml:space="preserve"> = А</t>
    </r>
    <r>
      <rPr>
        <sz val="8"/>
        <rFont val="Gbinfo"/>
        <family val="0"/>
      </rPr>
      <t>м</t>
    </r>
    <r>
      <rPr>
        <sz val="10"/>
        <rFont val="Gbinfo"/>
        <family val="0"/>
      </rPr>
      <t>. x (1 + Р/100) + Н</t>
    </r>
    <r>
      <rPr>
        <sz val="8"/>
        <rFont val="Gbinfo"/>
        <family val="0"/>
      </rPr>
      <t>сб</t>
    </r>
    <r>
      <rPr>
        <sz val="10"/>
        <rFont val="Gbinfo"/>
        <family val="0"/>
      </rPr>
      <t>., где</t>
    </r>
  </si>
  <si>
    <r>
      <t>А</t>
    </r>
    <r>
      <rPr>
        <sz val="8"/>
        <rFont val="Gbinfo"/>
        <family val="0"/>
      </rPr>
      <t>м.</t>
    </r>
    <r>
      <rPr>
        <sz val="10"/>
        <rFont val="Gbinfo"/>
        <family val="0"/>
      </rPr>
      <t> – сумма амортизационных отчислений в месяц, рублей;</t>
    </r>
  </si>
  <si>
    <r>
      <t>А</t>
    </r>
    <r>
      <rPr>
        <sz val="8"/>
        <rFont val="Tahoma"/>
        <family val="2"/>
      </rPr>
      <t>пл</t>
    </r>
    <r>
      <rPr>
        <sz val="10"/>
        <rFont val="Tahoma"/>
        <family val="2"/>
      </rPr>
      <t>. = (С</t>
    </r>
    <r>
      <rPr>
        <sz val="8"/>
        <rFont val="Tahoma"/>
        <family val="2"/>
      </rPr>
      <t>вост</t>
    </r>
    <r>
      <rPr>
        <sz val="10"/>
        <rFont val="Tahoma"/>
        <family val="2"/>
      </rPr>
      <t>.x0,1 x К</t>
    </r>
    <r>
      <rPr>
        <sz val="8"/>
        <rFont val="Tahoma"/>
        <family val="2"/>
      </rPr>
      <t>эф</t>
    </r>
    <r>
      <rPr>
        <sz val="10"/>
        <rFont val="Tahoma"/>
        <family val="2"/>
      </rPr>
      <t>.)/12+ H</t>
    </r>
    <r>
      <rPr>
        <sz val="8"/>
        <rFont val="Tahoma"/>
        <family val="2"/>
      </rPr>
      <t>сб</t>
    </r>
    <r>
      <rPr>
        <sz val="10"/>
        <rFont val="Tahoma"/>
        <family val="2"/>
      </rPr>
      <t>., где</t>
    </r>
  </si>
  <si>
    <r>
      <t>С</t>
    </r>
    <r>
      <rPr>
        <sz val="8"/>
        <rFont val="Tahoma"/>
        <family val="2"/>
      </rPr>
      <t>вост. </t>
    </r>
    <r>
      <rPr>
        <sz val="10"/>
        <rFont val="Tahoma"/>
        <family val="2"/>
      </rPr>
      <t>– восстановительная стоимость оборудования, транспортных средств, рублей;</t>
    </r>
  </si>
  <si>
    <t>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 (Указ от 23.10.2009 № 518)</t>
  </si>
  <si>
    <t>Годовая норма рабочего времени на 2011 год</t>
  </si>
  <si>
    <t>Среднемесячное количество часов работы в 2011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</si>
</sst>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%"/>
    <numFmt numFmtId="175" formatCode="0.0%"/>
    <numFmt numFmtId="176" formatCode="0.000%"/>
    <numFmt numFmtId="177" formatCode="0.0000%"/>
    <numFmt numFmtId="178" formatCode="#,##0.000"/>
    <numFmt numFmtId="179" formatCode="#,##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i/>
      <u val="single"/>
      <sz val="9"/>
      <name val="Tahoma"/>
      <family val="2"/>
    </font>
    <font>
      <i/>
      <u val="single"/>
      <sz val="10"/>
      <name val="Tahoma"/>
      <family val="2"/>
    </font>
    <font>
      <sz val="7"/>
      <name val="Tahoma"/>
      <family val="2"/>
    </font>
    <font>
      <sz val="8"/>
      <color indexed="43"/>
      <name val="Tahoma"/>
      <family val="2"/>
    </font>
    <font>
      <i/>
      <sz val="5"/>
      <name val="Tahoma"/>
      <family val="2"/>
    </font>
    <font>
      <sz val="9"/>
      <name val="Tahoma"/>
      <family val="2"/>
    </font>
    <font>
      <sz val="10"/>
      <name val="Arial Cyr"/>
      <family val="0"/>
    </font>
    <font>
      <sz val="6"/>
      <name val="Tahoma"/>
      <family val="2"/>
    </font>
    <font>
      <sz val="11"/>
      <name val="Tahoma"/>
      <family val="2"/>
    </font>
    <font>
      <b/>
      <i/>
      <u val="single"/>
      <sz val="9"/>
      <name val="Tahoma"/>
      <family val="2"/>
    </font>
    <font>
      <b/>
      <i/>
      <u val="single"/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0"/>
      <name val="Gbinfo"/>
      <family val="0"/>
    </font>
    <font>
      <sz val="8"/>
      <name val="Gbinfo"/>
      <family val="0"/>
    </font>
    <font>
      <sz val="8"/>
      <color indexed="30"/>
      <name val="Tahoma"/>
      <family val="2"/>
    </font>
    <font>
      <b/>
      <sz val="8"/>
      <color indexed="30"/>
      <name val="Tahoma"/>
      <family val="2"/>
    </font>
    <font>
      <sz val="9"/>
      <color indexed="30"/>
      <name val="Tahoma"/>
      <family val="2"/>
    </font>
    <font>
      <sz val="7"/>
      <color indexed="30"/>
      <name val="Tahoma"/>
      <family val="2"/>
    </font>
    <font>
      <i/>
      <u val="single"/>
      <sz val="9"/>
      <color indexed="30"/>
      <name val="Tahoma"/>
      <family val="2"/>
    </font>
    <font>
      <i/>
      <u val="single"/>
      <sz val="10"/>
      <color indexed="30"/>
      <name val="Tahoma"/>
      <family val="2"/>
    </font>
    <font>
      <b/>
      <i/>
      <u val="single"/>
      <sz val="9"/>
      <color indexed="30"/>
      <name val="Tahoma"/>
      <family val="2"/>
    </font>
    <font>
      <b/>
      <i/>
      <u val="single"/>
      <sz val="10"/>
      <color indexed="30"/>
      <name val="Tahoma"/>
      <family val="2"/>
    </font>
    <font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0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1" fillId="32" borderId="0" xfId="0" applyFont="1" applyFill="1" applyAlignment="1" applyProtection="1">
      <alignment vertical="center"/>
      <protection hidden="1"/>
    </xf>
    <xf numFmtId="10" fontId="2" fillId="32" borderId="0" xfId="0" applyNumberFormat="1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3" fontId="2" fillId="33" borderId="15" xfId="0" applyNumberFormat="1" applyFont="1" applyFill="1" applyBorder="1" applyAlignment="1" applyProtection="1">
      <alignment horizontal="center" vertical="center"/>
      <protection hidden="1"/>
    </xf>
    <xf numFmtId="3" fontId="21" fillId="33" borderId="15" xfId="0" applyNumberFormat="1" applyFont="1" applyFill="1" applyBorder="1" applyAlignment="1" applyProtection="1">
      <alignment horizontal="center" vertical="center"/>
      <protection hidden="1"/>
    </xf>
    <xf numFmtId="3" fontId="22" fillId="33" borderId="15" xfId="0" applyNumberFormat="1" applyFont="1" applyFill="1" applyBorder="1" applyAlignment="1" applyProtection="1">
      <alignment horizontal="center" vertical="center"/>
      <protection hidden="1"/>
    </xf>
    <xf numFmtId="10" fontId="6" fillId="32" borderId="0" xfId="0" applyNumberFormat="1" applyFont="1" applyFill="1" applyAlignment="1" applyProtection="1">
      <alignment vertical="center"/>
      <protection hidden="1"/>
    </xf>
    <xf numFmtId="0" fontId="6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6" fillId="32" borderId="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 wrapText="1"/>
      <protection locked="0"/>
    </xf>
    <xf numFmtId="0" fontId="2" fillId="32" borderId="0" xfId="0" applyNumberFormat="1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10" fontId="2" fillId="33" borderId="15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6" fillId="34" borderId="15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23" fillId="33" borderId="0" xfId="0" applyFont="1" applyFill="1" applyBorder="1" applyAlignment="1" applyProtection="1">
      <alignment horizontal="center" vertical="center"/>
      <protection hidden="1"/>
    </xf>
    <xf numFmtId="172" fontId="23" fillId="33" borderId="0" xfId="0" applyNumberFormat="1" applyFont="1" applyFill="1" applyBorder="1" applyAlignment="1" applyProtection="1">
      <alignment horizontal="center" vertical="center"/>
      <protection hidden="1"/>
    </xf>
    <xf numFmtId="173" fontId="2" fillId="33" borderId="15" xfId="0" applyNumberFormat="1" applyFont="1" applyFill="1" applyBorder="1" applyAlignment="1" applyProtection="1">
      <alignment horizontal="center"/>
      <protection hidden="1"/>
    </xf>
    <xf numFmtId="3" fontId="9" fillId="33" borderId="0" xfId="0" applyNumberFormat="1" applyFont="1" applyFill="1" applyBorder="1" applyAlignment="1" applyProtection="1">
      <alignment horizontal="center" vertical="center"/>
      <protection hidden="1"/>
    </xf>
    <xf numFmtId="3" fontId="21" fillId="0" borderId="15" xfId="0" applyNumberFormat="1" applyFont="1" applyFill="1" applyBorder="1" applyAlignment="1" applyProtection="1">
      <alignment horizontal="center" vertical="center"/>
      <protection hidden="1"/>
    </xf>
    <xf numFmtId="0" fontId="21" fillId="33" borderId="15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left"/>
      <protection hidden="1"/>
    </xf>
    <xf numFmtId="4" fontId="2" fillId="33" borderId="15" xfId="0" applyNumberFormat="1" applyFont="1" applyFill="1" applyBorder="1" applyAlignment="1" applyProtection="1">
      <alignment horizontal="center"/>
      <protection hidden="1"/>
    </xf>
    <xf numFmtId="4" fontId="21" fillId="33" borderId="15" xfId="0" applyNumberFormat="1" applyFont="1" applyFill="1" applyBorder="1" applyAlignment="1" applyProtection="1">
      <alignment horizontal="center"/>
      <protection hidden="1"/>
    </xf>
    <xf numFmtId="176" fontId="21" fillId="33" borderId="15" xfId="0" applyNumberFormat="1" applyFont="1" applyFill="1" applyBorder="1" applyAlignment="1" applyProtection="1">
      <alignment horizontal="center"/>
      <protection hidden="1"/>
    </xf>
    <xf numFmtId="176" fontId="22" fillId="33" borderId="15" xfId="0" applyNumberFormat="1" applyFont="1" applyFill="1" applyBorder="1" applyAlignment="1" applyProtection="1">
      <alignment horizontal="center"/>
      <protection hidden="1"/>
    </xf>
    <xf numFmtId="0" fontId="24" fillId="34" borderId="15" xfId="0" applyFont="1" applyFill="1" applyBorder="1" applyAlignment="1" applyProtection="1">
      <alignment horizontal="center" vertical="center" wrapText="1"/>
      <protection hidden="1"/>
    </xf>
    <xf numFmtId="0" fontId="21" fillId="32" borderId="0" xfId="0" applyFont="1" applyFill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vertical="center"/>
      <protection hidden="1"/>
    </xf>
    <xf numFmtId="0" fontId="21" fillId="33" borderId="0" xfId="0" applyFont="1" applyFill="1" applyBorder="1" applyAlignment="1" applyProtection="1">
      <alignment horizontal="left" vertical="center"/>
      <protection hidden="1"/>
    </xf>
    <xf numFmtId="0" fontId="21" fillId="33" borderId="0" xfId="0" applyFont="1" applyFill="1" applyBorder="1" applyAlignment="1" applyProtection="1">
      <alignment horizontal="right" vertical="center"/>
      <protection hidden="1"/>
    </xf>
    <xf numFmtId="4" fontId="2" fillId="33" borderId="15" xfId="0" applyNumberFormat="1" applyFont="1" applyFill="1" applyBorder="1" applyAlignment="1" applyProtection="1">
      <alignment horizontal="center" vertical="center"/>
      <protection hidden="1"/>
    </xf>
    <xf numFmtId="4" fontId="21" fillId="33" borderId="15" xfId="0" applyNumberFormat="1" applyFont="1" applyFill="1" applyBorder="1" applyAlignment="1" applyProtection="1">
      <alignment horizontal="center" vertical="center"/>
      <protection hidden="1"/>
    </xf>
    <xf numFmtId="172" fontId="21" fillId="33" borderId="15" xfId="0" applyNumberFormat="1" applyFont="1" applyFill="1" applyBorder="1" applyAlignment="1" applyProtection="1">
      <alignment horizontal="center" vertical="center"/>
      <protection hidden="1"/>
    </xf>
    <xf numFmtId="3" fontId="2" fillId="32" borderId="0" xfId="0" applyNumberFormat="1" applyFont="1" applyFill="1" applyAlignment="1" applyProtection="1">
      <alignment vertical="center"/>
      <protection hidden="1"/>
    </xf>
    <xf numFmtId="0" fontId="52" fillId="32" borderId="0" xfId="42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9" fontId="2" fillId="33" borderId="15" xfId="0" applyNumberFormat="1" applyFont="1" applyFill="1" applyBorder="1" applyAlignment="1" applyProtection="1">
      <alignment horizontal="center" vertical="center"/>
      <protection hidden="1"/>
    </xf>
    <xf numFmtId="179" fontId="2" fillId="33" borderId="15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left"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top"/>
      <protection hidden="1"/>
    </xf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Border="1" applyAlignment="1" applyProtection="1">
      <alignment horizontal="center" vertical="center"/>
      <protection hidden="1"/>
    </xf>
    <xf numFmtId="9" fontId="21" fillId="33" borderId="15" xfId="0" applyNumberFormat="1" applyFont="1" applyFill="1" applyBorder="1" applyAlignment="1" applyProtection="1">
      <alignment horizontal="center" vertical="center"/>
      <protection hidden="1"/>
    </xf>
    <xf numFmtId="172" fontId="2" fillId="33" borderId="15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1" fillId="33" borderId="0" xfId="0" applyFont="1" applyFill="1" applyBorder="1" applyAlignment="1" applyProtection="1">
      <alignment horizontal="right" vertical="center"/>
      <protection hidden="1"/>
    </xf>
    <xf numFmtId="0" fontId="26" fillId="33" borderId="0" xfId="0" applyFont="1" applyFill="1" applyBorder="1" applyAlignment="1" applyProtection="1">
      <alignment vertical="center" wrapText="1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179" fontId="21" fillId="33" borderId="15" xfId="0" applyNumberFormat="1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Border="1" applyAlignment="1" applyProtection="1">
      <alignment horizontal="left" vertical="center"/>
      <protection hidden="1"/>
    </xf>
    <xf numFmtId="10" fontId="21" fillId="33" borderId="15" xfId="0" applyNumberFormat="1" applyFont="1" applyFill="1" applyBorder="1" applyAlignment="1" applyProtection="1">
      <alignment horizontal="center" vertical="center"/>
      <protection hidden="1"/>
    </xf>
    <xf numFmtId="0" fontId="27" fillId="33" borderId="0" xfId="0" applyFont="1" applyFill="1" applyBorder="1" applyAlignment="1" applyProtection="1">
      <alignment horizontal="left" vertical="center"/>
      <protection hidden="1"/>
    </xf>
    <xf numFmtId="0" fontId="28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3" fontId="29" fillId="33" borderId="15" xfId="0" applyNumberFormat="1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Alignment="1" applyProtection="1">
      <alignment vertical="center" wrapText="1"/>
      <protection locked="0"/>
    </xf>
    <xf numFmtId="10" fontId="2" fillId="32" borderId="0" xfId="0" applyNumberFormat="1" applyFont="1" applyFill="1" applyAlignment="1" applyProtection="1">
      <alignment horizontal="center" vertical="center"/>
      <protection hidden="1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172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15" fillId="32" borderId="23" xfId="0" applyFont="1" applyFill="1" applyBorder="1" applyAlignment="1" applyProtection="1">
      <alignment horizontal="center" vertical="center"/>
      <protection hidden="1"/>
    </xf>
    <xf numFmtId="0" fontId="15" fillId="32" borderId="0" xfId="0" applyFont="1" applyFill="1" applyAlignment="1" applyProtection="1">
      <alignment horizontal="center" vertical="center"/>
      <protection hidden="1"/>
    </xf>
    <xf numFmtId="49" fontId="2" fillId="33" borderId="15" xfId="0" applyNumberFormat="1" applyFont="1" applyFill="1" applyBorder="1" applyAlignment="1" applyProtection="1">
      <alignment horizontal="center" vertical="center"/>
      <protection hidden="1"/>
    </xf>
    <xf numFmtId="0" fontId="26" fillId="33" borderId="14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1" fillId="33" borderId="24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3" fontId="21" fillId="33" borderId="24" xfId="0" applyNumberFormat="1" applyFont="1" applyFill="1" applyBorder="1" applyAlignment="1" applyProtection="1">
      <alignment horizontal="center" vertical="center"/>
      <protection hidden="1"/>
    </xf>
    <xf numFmtId="173" fontId="2" fillId="33" borderId="24" xfId="0" applyNumberFormat="1" applyFont="1" applyFill="1" applyBorder="1" applyAlignment="1" applyProtection="1">
      <alignment horizontal="center"/>
      <protection hidden="1"/>
    </xf>
    <xf numFmtId="0" fontId="21" fillId="33" borderId="21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3" fontId="21" fillId="33" borderId="21" xfId="0" applyNumberFormat="1" applyFont="1" applyFill="1" applyBorder="1" applyAlignment="1" applyProtection="1">
      <alignment horizontal="center" vertical="center"/>
      <protection hidden="1"/>
    </xf>
    <xf numFmtId="173" fontId="2" fillId="33" borderId="21" xfId="0" applyNumberFormat="1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26" fillId="33" borderId="18" xfId="0" applyFont="1" applyFill="1" applyBorder="1" applyAlignment="1" applyProtection="1">
      <alignment horizontal="center" vertical="center"/>
      <protection hidden="1"/>
    </xf>
    <xf numFmtId="4" fontId="2" fillId="32" borderId="0" xfId="0" applyNumberFormat="1" applyFont="1" applyFill="1" applyAlignment="1" applyProtection="1">
      <alignment vertical="center"/>
      <protection hidden="1"/>
    </xf>
    <xf numFmtId="0" fontId="21" fillId="33" borderId="0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6" fillId="32" borderId="0" xfId="0" applyFont="1" applyFill="1" applyAlignment="1" applyProtection="1">
      <alignment vertical="center" wrapText="1"/>
      <protection hidden="1"/>
    </xf>
    <xf numFmtId="0" fontId="16" fillId="32" borderId="0" xfId="0" applyFont="1" applyFill="1" applyAlignment="1" applyProtection="1">
      <alignment vertical="center"/>
      <protection hidden="1"/>
    </xf>
    <xf numFmtId="0" fontId="16" fillId="32" borderId="0" xfId="0" applyFont="1" applyFill="1" applyAlignment="1" applyProtection="1">
      <alignment horizontal="center" vertical="center"/>
      <protection hidden="1"/>
    </xf>
    <xf numFmtId="0" fontId="2" fillId="32" borderId="0" xfId="0" applyFont="1" applyFill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vertical="center" wrapText="1"/>
      <protection hidden="1"/>
    </xf>
    <xf numFmtId="0" fontId="18" fillId="33" borderId="0" xfId="0" applyNumberFormat="1" applyFont="1" applyFill="1" applyBorder="1" applyAlignment="1" applyProtection="1">
      <alignment vertical="center" wrapText="1"/>
      <protection hidden="1"/>
    </xf>
    <xf numFmtId="0" fontId="17" fillId="32" borderId="0" xfId="42" applyFont="1" applyFill="1" applyBorder="1" applyAlignment="1" applyProtection="1">
      <alignment vertical="center"/>
      <protection/>
    </xf>
    <xf numFmtId="4" fontId="2" fillId="32" borderId="0" xfId="0" applyNumberFormat="1" applyFont="1" applyFill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Alignment="1" applyProtection="1">
      <alignment/>
      <protection hidden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wrapText="1" indent="2"/>
    </xf>
    <xf numFmtId="0" fontId="19" fillId="0" borderId="0" xfId="0" applyFont="1" applyAlignment="1">
      <alignment horizontal="center" wrapText="1"/>
    </xf>
    <xf numFmtId="0" fontId="2" fillId="32" borderId="0" xfId="0" applyFont="1" applyFill="1" applyAlignment="1" applyProtection="1">
      <alignment horizontal="center" vertical="center"/>
      <protection hidden="1"/>
    </xf>
    <xf numFmtId="0" fontId="2" fillId="32" borderId="0" xfId="0" applyFont="1" applyFill="1" applyAlignment="1" applyProtection="1">
      <alignment horizontal="left"/>
      <protection hidden="1"/>
    </xf>
    <xf numFmtId="0" fontId="19" fillId="0" borderId="0" xfId="0" applyNumberFormat="1" applyFont="1" applyAlignment="1">
      <alignment horizontal="left" wrapText="1"/>
    </xf>
    <xf numFmtId="0" fontId="2" fillId="32" borderId="0" xfId="0" applyFont="1" applyFill="1" applyAlignment="1" applyProtection="1">
      <alignment vertical="center" wrapText="1"/>
      <protection hidden="1"/>
    </xf>
    <xf numFmtId="0" fontId="16" fillId="0" borderId="0" xfId="0" applyFont="1" applyAlignment="1">
      <alignment horizontal="center" wrapText="1"/>
    </xf>
    <xf numFmtId="0" fontId="18" fillId="33" borderId="0" xfId="0" applyFont="1" applyFill="1" applyBorder="1" applyAlignment="1" applyProtection="1">
      <alignment horizontal="center" vertical="center" wrapText="1"/>
      <protection hidden="1"/>
    </xf>
    <xf numFmtId="0" fontId="18" fillId="33" borderId="0" xfId="0" applyFont="1" applyFill="1" applyBorder="1" applyAlignment="1" applyProtection="1">
      <alignment horizontal="left" vertical="center" wrapText="1" indent="2"/>
      <protection hidden="1"/>
    </xf>
    <xf numFmtId="0" fontId="18" fillId="33" borderId="0" xfId="0" applyNumberFormat="1" applyFont="1" applyFill="1" applyBorder="1" applyAlignment="1" applyProtection="1">
      <alignment horizontal="left" vertical="center" wrapText="1" indent="2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top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21" xfId="0" applyFont="1" applyFill="1" applyBorder="1" applyAlignment="1" applyProtection="1">
      <alignment horizontal="left" vertical="center" wrapText="1"/>
      <protection hidden="1"/>
    </xf>
    <xf numFmtId="0" fontId="2" fillId="33" borderId="22" xfId="0" applyFont="1" applyFill="1" applyBorder="1" applyAlignment="1" applyProtection="1">
      <alignment horizontal="left" vertical="center" wrapText="1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2" fillId="34" borderId="20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8" fillId="33" borderId="25" xfId="0" applyFont="1" applyFill="1" applyBorder="1" applyAlignment="1" applyProtection="1">
      <alignment horizontal="center" vertical="top"/>
      <protection hidden="1"/>
    </xf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21" fillId="33" borderId="0" xfId="0" applyFont="1" applyFill="1" applyBorder="1" applyAlignment="1" applyProtection="1">
      <alignment horizontal="left" vertical="center"/>
      <protection hidden="1"/>
    </xf>
    <xf numFmtId="0" fontId="25" fillId="33" borderId="0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3" fontId="2" fillId="33" borderId="20" xfId="0" applyNumberFormat="1" applyFont="1" applyFill="1" applyBorder="1" applyAlignment="1" applyProtection="1">
      <alignment horizontal="center" vertical="center"/>
      <protection hidden="1"/>
    </xf>
    <xf numFmtId="3" fontId="2" fillId="33" borderId="22" xfId="0" applyNumberFormat="1" applyFont="1" applyFill="1" applyBorder="1" applyAlignment="1" applyProtection="1">
      <alignment horizontal="center" vertical="center"/>
      <protection hidden="1"/>
    </xf>
    <xf numFmtId="0" fontId="21" fillId="33" borderId="0" xfId="0" applyFont="1" applyFill="1" applyBorder="1" applyAlignment="1" applyProtection="1">
      <alignment horizontal="left" vertical="center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3" fontId="21" fillId="33" borderId="20" xfId="0" applyNumberFormat="1" applyFont="1" applyFill="1" applyBorder="1" applyAlignment="1" applyProtection="1">
      <alignment horizontal="center" vertical="center"/>
      <protection hidden="1"/>
    </xf>
    <xf numFmtId="3" fontId="21" fillId="33" borderId="22" xfId="0" applyNumberFormat="1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left" vertic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left" vertical="center" wrapText="1" indent="1"/>
      <protection hidden="1"/>
    </xf>
    <xf numFmtId="0" fontId="2" fillId="33" borderId="21" xfId="0" applyFont="1" applyFill="1" applyBorder="1" applyAlignment="1" applyProtection="1">
      <alignment horizontal="left" vertical="center" wrapText="1" indent="1"/>
      <protection hidden="1"/>
    </xf>
    <xf numFmtId="0" fontId="2" fillId="33" borderId="22" xfId="0" applyFont="1" applyFill="1" applyBorder="1" applyAlignment="1" applyProtection="1">
      <alignment horizontal="left" vertical="center" wrapText="1" indent="1"/>
      <protection hidden="1"/>
    </xf>
    <xf numFmtId="0" fontId="2" fillId="32" borderId="0" xfId="0" applyFont="1" applyFill="1" applyAlignment="1" applyProtection="1">
      <alignment horizontal="left" vertical="center" wrapText="1"/>
      <protection locked="0"/>
    </xf>
    <xf numFmtId="0" fontId="2" fillId="32" borderId="14" xfId="0" applyFont="1" applyFill="1" applyBorder="1" applyAlignment="1" applyProtection="1">
      <alignment horizontal="left" vertical="center" wrapText="1"/>
      <protection locked="0"/>
    </xf>
    <xf numFmtId="0" fontId="6" fillId="34" borderId="28" xfId="0" applyFont="1" applyFill="1" applyBorder="1" applyAlignment="1" applyProtection="1">
      <alignment horizontal="center" vertical="center" wrapText="1"/>
      <protection hidden="1"/>
    </xf>
    <xf numFmtId="0" fontId="6" fillId="34" borderId="1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X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1.421875" style="1" customWidth="1"/>
    <col min="5" max="5" width="8.8515625" style="1" customWidth="1"/>
    <col min="6" max="6" width="9.8515625" style="1" customWidth="1"/>
    <col min="7" max="7" width="10.7109375" style="1" customWidth="1"/>
    <col min="8" max="8" width="10.28125" style="1" customWidth="1"/>
    <col min="9" max="9" width="16.00390625" style="1" customWidth="1"/>
    <col min="10" max="10" width="2.8515625" style="1" customWidth="1"/>
    <col min="11" max="11" width="2.14062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5" customHeight="1">
      <c r="B3" s="7"/>
      <c r="C3" s="33"/>
      <c r="D3" s="33"/>
      <c r="E3" s="33"/>
      <c r="F3" s="33"/>
      <c r="G3" s="139" t="s">
        <v>7</v>
      </c>
      <c r="H3" s="139"/>
      <c r="I3" s="33"/>
      <c r="J3" s="8"/>
    </row>
    <row r="4" spans="2:12" ht="15">
      <c r="B4" s="7"/>
      <c r="C4" s="33"/>
      <c r="D4" s="33"/>
      <c r="E4" s="33"/>
      <c r="F4" s="33"/>
      <c r="G4" s="81" t="s">
        <v>128</v>
      </c>
      <c r="H4" s="33" t="s">
        <v>129</v>
      </c>
      <c r="I4" s="33"/>
      <c r="J4" s="8"/>
      <c r="L4" s="66" t="s">
        <v>227</v>
      </c>
    </row>
    <row r="5" spans="2:12" ht="15">
      <c r="B5" s="7"/>
      <c r="C5" s="33"/>
      <c r="D5" s="33"/>
      <c r="E5" s="33"/>
      <c r="F5" s="33"/>
      <c r="G5" s="72"/>
      <c r="H5" s="138" t="s">
        <v>15</v>
      </c>
      <c r="I5" s="138"/>
      <c r="J5" s="51"/>
      <c r="L5" s="66" t="s">
        <v>176</v>
      </c>
    </row>
    <row r="6" spans="2:12" ht="20.25" customHeight="1">
      <c r="B6" s="7"/>
      <c r="C6" s="33"/>
      <c r="D6" s="33"/>
      <c r="E6" s="33"/>
      <c r="F6" s="33"/>
      <c r="G6" s="138" t="s">
        <v>8</v>
      </c>
      <c r="H6" s="138"/>
      <c r="I6" s="138"/>
      <c r="J6" s="51"/>
      <c r="L6" s="66" t="s">
        <v>177</v>
      </c>
    </row>
    <row r="7" spans="2:12" ht="15">
      <c r="B7" s="7"/>
      <c r="C7" s="33"/>
      <c r="D7" s="33"/>
      <c r="E7" s="33"/>
      <c r="F7" s="33"/>
      <c r="G7" s="33"/>
      <c r="H7" s="35"/>
      <c r="I7" s="35"/>
      <c r="J7" s="8"/>
      <c r="L7" s="66" t="s">
        <v>178</v>
      </c>
    </row>
    <row r="8" spans="2:12" ht="15">
      <c r="B8" s="7"/>
      <c r="C8" s="141" t="s">
        <v>27</v>
      </c>
      <c r="D8" s="141"/>
      <c r="E8" s="141"/>
      <c r="F8" s="141"/>
      <c r="G8" s="141"/>
      <c r="H8" s="141"/>
      <c r="I8" s="141"/>
      <c r="J8" s="8"/>
      <c r="L8" s="66" t="s">
        <v>182</v>
      </c>
    </row>
    <row r="9" spans="2:12" ht="15">
      <c r="B9" s="7"/>
      <c r="C9" s="147" t="s">
        <v>175</v>
      </c>
      <c r="D9" s="147"/>
      <c r="E9" s="147"/>
      <c r="F9" s="147"/>
      <c r="G9" s="67" t="s">
        <v>189</v>
      </c>
      <c r="H9" s="67"/>
      <c r="I9" s="67"/>
      <c r="J9" s="8"/>
      <c r="L9" s="66" t="s">
        <v>179</v>
      </c>
    </row>
    <row r="10" spans="2:12" ht="13.5" customHeight="1">
      <c r="B10" s="7"/>
      <c r="C10" s="68"/>
      <c r="D10" s="68"/>
      <c r="E10" s="68"/>
      <c r="F10" s="68"/>
      <c r="G10" s="74" t="s">
        <v>119</v>
      </c>
      <c r="H10" s="67"/>
      <c r="I10" s="67"/>
      <c r="J10" s="8"/>
      <c r="L10" s="66" t="s">
        <v>180</v>
      </c>
    </row>
    <row r="11" spans="2:12" ht="15" customHeight="1">
      <c r="B11" s="7"/>
      <c r="C11" s="142" t="s">
        <v>190</v>
      </c>
      <c r="D11" s="142"/>
      <c r="E11" s="142"/>
      <c r="F11" s="142"/>
      <c r="G11" s="142"/>
      <c r="H11" s="142"/>
      <c r="I11" s="142"/>
      <c r="J11" s="8"/>
      <c r="L11" s="66" t="s">
        <v>181</v>
      </c>
    </row>
    <row r="12" spans="2:12" ht="15">
      <c r="B12" s="7"/>
      <c r="C12" s="140" t="s">
        <v>118</v>
      </c>
      <c r="D12" s="140"/>
      <c r="E12" s="140"/>
      <c r="F12" s="140"/>
      <c r="G12" s="140"/>
      <c r="H12" s="140"/>
      <c r="I12" s="140"/>
      <c r="J12" s="8"/>
      <c r="L12" s="66" t="s">
        <v>183</v>
      </c>
    </row>
    <row r="13" spans="2:12" ht="15">
      <c r="B13" s="7"/>
      <c r="C13" s="9"/>
      <c r="D13" s="9"/>
      <c r="E13" s="9"/>
      <c r="F13" s="9"/>
      <c r="G13" s="9"/>
      <c r="H13" s="9"/>
      <c r="I13" s="9"/>
      <c r="J13" s="8"/>
      <c r="L13" s="66" t="s">
        <v>184</v>
      </c>
    </row>
    <row r="14" spans="2:12" ht="15">
      <c r="B14" s="7"/>
      <c r="C14" s="10"/>
      <c r="D14" s="10"/>
      <c r="E14" s="10"/>
      <c r="F14" s="10"/>
      <c r="G14" s="11"/>
      <c r="H14" s="11"/>
      <c r="I14" s="11"/>
      <c r="J14" s="8"/>
      <c r="L14" s="66" t="s">
        <v>185</v>
      </c>
    </row>
    <row r="15" spans="2:12" ht="24" customHeight="1">
      <c r="B15" s="7"/>
      <c r="C15" s="12" t="s">
        <v>1</v>
      </c>
      <c r="D15" s="148" t="s">
        <v>13</v>
      </c>
      <c r="E15" s="149"/>
      <c r="F15" s="150"/>
      <c r="G15" s="12" t="s">
        <v>99</v>
      </c>
      <c r="H15" s="13" t="s">
        <v>98</v>
      </c>
      <c r="I15" s="13" t="s">
        <v>125</v>
      </c>
      <c r="J15" s="8"/>
      <c r="L15" s="66" t="s">
        <v>186</v>
      </c>
    </row>
    <row r="16" spans="2:12" ht="31.5" customHeight="1">
      <c r="B16" s="7"/>
      <c r="C16" s="14">
        <v>1</v>
      </c>
      <c r="D16" s="144" t="s">
        <v>100</v>
      </c>
      <c r="E16" s="145"/>
      <c r="F16" s="146"/>
      <c r="G16" s="14" t="s">
        <v>110</v>
      </c>
      <c r="H16" s="14" t="s">
        <v>36</v>
      </c>
      <c r="I16" s="15">
        <v>15000000</v>
      </c>
      <c r="J16" s="8"/>
      <c r="K16" s="65"/>
      <c r="L16" s="66" t="s">
        <v>188</v>
      </c>
    </row>
    <row r="17" spans="2:12" ht="23.25" customHeight="1">
      <c r="B17" s="7"/>
      <c r="C17" s="14">
        <v>2</v>
      </c>
      <c r="D17" s="144" t="s">
        <v>101</v>
      </c>
      <c r="E17" s="145"/>
      <c r="F17" s="146"/>
      <c r="G17" s="14" t="s">
        <v>111</v>
      </c>
      <c r="H17" s="14"/>
      <c r="I17" s="70">
        <v>1.0845</v>
      </c>
      <c r="J17" s="8"/>
      <c r="K17" s="65"/>
      <c r="L17" s="66" t="s">
        <v>74</v>
      </c>
    </row>
    <row r="18" spans="2:12" ht="15">
      <c r="B18" s="7"/>
      <c r="C18" s="14">
        <v>3</v>
      </c>
      <c r="D18" s="144" t="s">
        <v>102</v>
      </c>
      <c r="E18" s="145"/>
      <c r="F18" s="146"/>
      <c r="G18" s="14" t="s">
        <v>117</v>
      </c>
      <c r="H18" s="14"/>
      <c r="I18" s="62">
        <v>1.1</v>
      </c>
      <c r="J18" s="8"/>
      <c r="K18" s="65"/>
      <c r="L18" s="66" t="s">
        <v>90</v>
      </c>
    </row>
    <row r="19" spans="2:11" ht="10.5" customHeight="1">
      <c r="B19" s="7"/>
      <c r="C19" s="14">
        <v>4</v>
      </c>
      <c r="D19" s="144" t="s">
        <v>122</v>
      </c>
      <c r="E19" s="145"/>
      <c r="F19" s="146"/>
      <c r="G19" s="14" t="s">
        <v>108</v>
      </c>
      <c r="H19" s="14" t="s">
        <v>37</v>
      </c>
      <c r="I19" s="69">
        <v>0.2</v>
      </c>
      <c r="J19" s="8"/>
      <c r="K19" s="65"/>
    </row>
    <row r="20" spans="2:11" ht="10.5">
      <c r="B20" s="7"/>
      <c r="C20" s="14">
        <v>5</v>
      </c>
      <c r="D20" s="144" t="s">
        <v>123</v>
      </c>
      <c r="E20" s="145"/>
      <c r="F20" s="146"/>
      <c r="G20" s="14"/>
      <c r="H20" s="14" t="s">
        <v>36</v>
      </c>
      <c r="I20" s="16">
        <f>ROUND((I16*I17*I18)/12*I19,0)</f>
        <v>298238</v>
      </c>
      <c r="J20" s="8"/>
      <c r="K20" s="65"/>
    </row>
    <row r="21" spans="2:11" ht="10.5">
      <c r="B21" s="7"/>
      <c r="C21" s="14">
        <v>6</v>
      </c>
      <c r="D21" s="144" t="s">
        <v>103</v>
      </c>
      <c r="E21" s="145"/>
      <c r="F21" s="146"/>
      <c r="G21" s="14" t="s">
        <v>112</v>
      </c>
      <c r="H21" s="14" t="s">
        <v>36</v>
      </c>
      <c r="I21" s="16">
        <f>ROUND((I16*I17*I18)/12+I20,0)</f>
        <v>1789426</v>
      </c>
      <c r="J21" s="8"/>
      <c r="K21" s="65"/>
    </row>
    <row r="22" spans="2:12" ht="24" customHeight="1">
      <c r="B22" s="7"/>
      <c r="C22" s="14">
        <v>7</v>
      </c>
      <c r="D22" s="144" t="s">
        <v>104</v>
      </c>
      <c r="E22" s="145"/>
      <c r="F22" s="146"/>
      <c r="G22" s="14" t="s">
        <v>113</v>
      </c>
      <c r="H22" s="14" t="s">
        <v>36</v>
      </c>
      <c r="I22" s="15">
        <v>8700000</v>
      </c>
      <c r="J22" s="8"/>
      <c r="K22" s="65"/>
      <c r="L22" s="66"/>
    </row>
    <row r="23" spans="2:11" ht="10.5">
      <c r="B23" s="7"/>
      <c r="C23" s="14">
        <v>8</v>
      </c>
      <c r="D23" s="144" t="s">
        <v>105</v>
      </c>
      <c r="E23" s="145"/>
      <c r="F23" s="146"/>
      <c r="G23" s="14" t="s">
        <v>109</v>
      </c>
      <c r="H23" s="14" t="s">
        <v>107</v>
      </c>
      <c r="I23" s="15">
        <v>2</v>
      </c>
      <c r="J23" s="8"/>
      <c r="K23" s="65"/>
    </row>
    <row r="24" spans="2:11" ht="10.5">
      <c r="B24" s="7"/>
      <c r="C24" s="14">
        <v>9</v>
      </c>
      <c r="D24" s="144" t="s">
        <v>106</v>
      </c>
      <c r="E24" s="145"/>
      <c r="F24" s="146"/>
      <c r="G24" s="14" t="s">
        <v>114</v>
      </c>
      <c r="H24" s="14" t="s">
        <v>36</v>
      </c>
      <c r="I24" s="16">
        <f>IF(I43="нет",0,I20*I23)</f>
        <v>0</v>
      </c>
      <c r="J24" s="8"/>
      <c r="K24" s="65"/>
    </row>
    <row r="25" spans="2:11" ht="10.5">
      <c r="B25" s="7"/>
      <c r="C25" s="14">
        <v>10</v>
      </c>
      <c r="D25" s="144" t="s">
        <v>116</v>
      </c>
      <c r="E25" s="145"/>
      <c r="F25" s="146"/>
      <c r="G25" s="14"/>
      <c r="H25" s="14" t="s">
        <v>36</v>
      </c>
      <c r="I25" s="16">
        <f>ROUND((I24*I18)/(1+I18),0)</f>
        <v>0</v>
      </c>
      <c r="J25" s="8"/>
      <c r="K25" s="65"/>
    </row>
    <row r="26" spans="2:10" ht="10.5">
      <c r="B26" s="7"/>
      <c r="C26" s="10"/>
      <c r="D26" s="10"/>
      <c r="E26" s="10"/>
      <c r="F26" s="10"/>
      <c r="G26" s="11"/>
      <c r="H26" s="11"/>
      <c r="I26" s="11"/>
      <c r="J26" s="8"/>
    </row>
    <row r="27" spans="2:10" ht="10.5">
      <c r="B27" s="7"/>
      <c r="C27" s="10"/>
      <c r="D27" s="10"/>
      <c r="E27" s="10"/>
      <c r="F27" s="10"/>
      <c r="G27" s="11"/>
      <c r="H27" s="11"/>
      <c r="I27" s="11"/>
      <c r="J27" s="8"/>
    </row>
    <row r="28" spans="2:10" ht="10.5">
      <c r="B28" s="7"/>
      <c r="C28" s="10"/>
      <c r="D28" s="10"/>
      <c r="E28" s="10"/>
      <c r="F28" s="10"/>
      <c r="G28" s="11"/>
      <c r="H28" s="11"/>
      <c r="I28" s="11"/>
      <c r="J28" s="8"/>
    </row>
    <row r="29" spans="2:10" ht="10.5">
      <c r="B29" s="7"/>
      <c r="C29" s="10" t="s">
        <v>5</v>
      </c>
      <c r="D29" s="10"/>
      <c r="E29" s="151"/>
      <c r="F29" s="151"/>
      <c r="G29" s="143" t="s">
        <v>10</v>
      </c>
      <c r="H29" s="143"/>
      <c r="I29" s="11"/>
      <c r="J29" s="8"/>
    </row>
    <row r="30" spans="2:10" ht="23.25" customHeight="1">
      <c r="B30" s="7"/>
      <c r="C30" s="10"/>
      <c r="D30" s="10"/>
      <c r="E30" s="152" t="s">
        <v>9</v>
      </c>
      <c r="F30" s="152"/>
      <c r="G30" s="71"/>
      <c r="H30" s="71"/>
      <c r="I30" s="11"/>
      <c r="J30" s="8"/>
    </row>
    <row r="31" spans="2:10" ht="10.5">
      <c r="B31" s="7"/>
      <c r="C31" s="10" t="s">
        <v>6</v>
      </c>
      <c r="D31" s="10"/>
      <c r="E31" s="151"/>
      <c r="F31" s="151"/>
      <c r="G31" s="143" t="s">
        <v>11</v>
      </c>
      <c r="H31" s="143"/>
      <c r="I31" s="11"/>
      <c r="J31" s="8"/>
    </row>
    <row r="32" spans="2:10" ht="10.5">
      <c r="B32" s="7"/>
      <c r="C32" s="10"/>
      <c r="D32" s="10"/>
      <c r="E32" s="152" t="s">
        <v>9</v>
      </c>
      <c r="F32" s="152"/>
      <c r="G32" s="11"/>
      <c r="H32" s="11"/>
      <c r="I32" s="11"/>
      <c r="J32" s="8"/>
    </row>
    <row r="33" spans="2:10" ht="10.5">
      <c r="B33" s="7"/>
      <c r="C33" s="10"/>
      <c r="D33" s="10"/>
      <c r="E33" s="10"/>
      <c r="F33" s="10"/>
      <c r="G33" s="11"/>
      <c r="H33" s="11"/>
      <c r="I33" s="11"/>
      <c r="J33" s="8"/>
    </row>
    <row r="34" spans="2:10" ht="10.5">
      <c r="B34" s="7"/>
      <c r="C34" s="10"/>
      <c r="D34" s="10"/>
      <c r="E34" s="10"/>
      <c r="F34" s="10"/>
      <c r="G34" s="11"/>
      <c r="H34" s="11"/>
      <c r="I34" s="11"/>
      <c r="J34" s="8"/>
    </row>
    <row r="35" spans="1:50" s="22" customFormat="1" ht="10.5">
      <c r="A35" s="18"/>
      <c r="B35" s="19"/>
      <c r="C35" s="20"/>
      <c r="D35" s="20"/>
      <c r="E35" s="20"/>
      <c r="F35" s="20"/>
      <c r="G35" s="20"/>
      <c r="H35" s="20"/>
      <c r="I35" s="20"/>
      <c r="J35" s="21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2:50" ht="11.25" thickBot="1">
      <c r="B36" s="24"/>
      <c r="C36" s="25"/>
      <c r="D36" s="25"/>
      <c r="E36" s="25"/>
      <c r="F36" s="25"/>
      <c r="G36" s="25"/>
      <c r="H36" s="25"/>
      <c r="I36" s="25"/>
      <c r="J36" s="26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4:50" ht="10.5">
      <c r="N37" s="27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9"/>
      <c r="AO37" s="28"/>
      <c r="AP37" s="28"/>
      <c r="AQ37" s="28"/>
      <c r="AR37" s="28"/>
      <c r="AS37" s="28"/>
      <c r="AT37" s="28"/>
      <c r="AU37" s="28"/>
      <c r="AV37" s="28"/>
      <c r="AW37" s="28"/>
      <c r="AX37" s="28"/>
    </row>
    <row r="38" spans="14:50" ht="10.5">
      <c r="N38" s="23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9"/>
      <c r="AJ38" s="29"/>
      <c r="AK38" s="29"/>
      <c r="AL38" s="29"/>
      <c r="AM38" s="29"/>
      <c r="AN38" s="29"/>
      <c r="AO38" s="28"/>
      <c r="AP38" s="28"/>
      <c r="AQ38" s="28"/>
      <c r="AR38" s="28"/>
      <c r="AS38" s="28"/>
      <c r="AT38" s="28"/>
      <c r="AU38" s="28"/>
      <c r="AV38" s="28"/>
      <c r="AW38" s="28"/>
      <c r="AX38" s="28"/>
    </row>
    <row r="39" spans="3:50" ht="10.5">
      <c r="C39" s="30"/>
      <c r="D39" s="30"/>
      <c r="E39" s="30"/>
      <c r="F39" s="30"/>
      <c r="N39" s="27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9"/>
      <c r="AJ39" s="29"/>
      <c r="AK39" s="29"/>
      <c r="AL39" s="29"/>
      <c r="AM39" s="29"/>
      <c r="AN39" s="29"/>
      <c r="AO39" s="28"/>
      <c r="AP39" s="28"/>
      <c r="AQ39" s="28"/>
      <c r="AR39" s="28"/>
      <c r="AS39" s="28"/>
      <c r="AT39" s="28"/>
      <c r="AU39" s="28"/>
      <c r="AV39" s="28"/>
      <c r="AW39" s="28"/>
      <c r="AX39" s="28"/>
    </row>
    <row r="40" spans="3:50" ht="10.5">
      <c r="C40" s="30"/>
      <c r="D40" s="30"/>
      <c r="E40" s="30"/>
      <c r="F40" s="30"/>
      <c r="N40" s="27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9"/>
      <c r="AJ40" s="29"/>
      <c r="AK40" s="29"/>
      <c r="AL40" s="29"/>
      <c r="AM40" s="29"/>
      <c r="AN40" s="29"/>
      <c r="AO40" s="28"/>
      <c r="AP40" s="28"/>
      <c r="AQ40" s="28"/>
      <c r="AR40" s="28"/>
      <c r="AS40" s="28"/>
      <c r="AT40" s="28"/>
      <c r="AU40" s="28"/>
      <c r="AV40" s="28"/>
      <c r="AW40" s="28"/>
      <c r="AX40" s="28"/>
    </row>
    <row r="41" spans="3:50" ht="10.5">
      <c r="C41" s="30"/>
      <c r="D41" s="30"/>
      <c r="E41" s="30"/>
      <c r="F41" s="30"/>
      <c r="N41" s="27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9"/>
      <c r="AJ41" s="29"/>
      <c r="AK41" s="29"/>
      <c r="AL41" s="29"/>
      <c r="AM41" s="29"/>
      <c r="AN41" s="29"/>
      <c r="AO41" s="28"/>
      <c r="AP41" s="28"/>
      <c r="AQ41" s="28"/>
      <c r="AR41" s="28"/>
      <c r="AS41" s="28"/>
      <c r="AT41" s="28"/>
      <c r="AU41" s="28"/>
      <c r="AV41" s="28"/>
      <c r="AW41" s="28"/>
      <c r="AX41" s="28"/>
    </row>
    <row r="42" spans="3:50" ht="10.5">
      <c r="C42" s="30"/>
      <c r="D42" s="30"/>
      <c r="E42" s="30"/>
      <c r="F42" s="30"/>
      <c r="N42" s="27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9"/>
      <c r="AJ42" s="29"/>
      <c r="AK42" s="29"/>
      <c r="AL42" s="29"/>
      <c r="AM42" s="29"/>
      <c r="AN42" s="29"/>
      <c r="AO42" s="28"/>
      <c r="AP42" s="28"/>
      <c r="AQ42" s="28"/>
      <c r="AR42" s="28"/>
      <c r="AS42" s="28"/>
      <c r="AT42" s="28"/>
      <c r="AU42" s="28"/>
      <c r="AV42" s="28"/>
      <c r="AW42" s="28"/>
      <c r="AX42" s="28"/>
    </row>
    <row r="43" spans="3:50" ht="31.5" customHeight="1">
      <c r="C43" s="14"/>
      <c r="D43" s="144" t="s">
        <v>115</v>
      </c>
      <c r="E43" s="145"/>
      <c r="F43" s="145"/>
      <c r="G43" s="145"/>
      <c r="H43" s="146"/>
      <c r="I43" s="16" t="str">
        <f>IF(I22&gt;=(I16*I17*I18/12),"нет","да")</f>
        <v>нет</v>
      </c>
      <c r="N43" s="27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9"/>
      <c r="AJ43" s="29"/>
      <c r="AK43" s="29"/>
      <c r="AL43" s="29"/>
      <c r="AM43" s="29"/>
      <c r="AN43" s="29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3:50" ht="10.5">
      <c r="C44" s="30"/>
      <c r="D44" s="30"/>
      <c r="E44" s="30"/>
      <c r="F44" s="30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9"/>
      <c r="AJ44" s="29"/>
      <c r="AK44" s="29"/>
      <c r="AL44" s="29"/>
      <c r="AM44" s="29"/>
      <c r="AN44" s="29"/>
      <c r="AO44" s="28"/>
      <c r="AP44" s="28"/>
      <c r="AQ44" s="28"/>
      <c r="AR44" s="28"/>
      <c r="AS44" s="28"/>
      <c r="AT44" s="28"/>
      <c r="AU44" s="28"/>
      <c r="AV44" s="28"/>
      <c r="AW44" s="28"/>
      <c r="AX44" s="28"/>
    </row>
    <row r="45" spans="3:50" ht="10.5">
      <c r="C45" s="30"/>
      <c r="D45" s="30"/>
      <c r="E45" s="30"/>
      <c r="F45" s="30"/>
      <c r="N45" s="27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3:50" ht="10.5">
      <c r="C46" s="30"/>
      <c r="D46" s="30"/>
      <c r="E46" s="30"/>
      <c r="F46" s="30"/>
      <c r="N46" s="27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</row>
    <row r="47" spans="3:50" ht="10.5">
      <c r="C47" s="30"/>
      <c r="D47" s="30"/>
      <c r="E47" s="30"/>
      <c r="F47" s="30"/>
      <c r="N47" s="27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3:50" ht="10.5">
      <c r="C48" s="30"/>
      <c r="D48" s="30"/>
      <c r="E48" s="30"/>
      <c r="F48" s="30"/>
      <c r="N48" s="27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3:50" ht="10.5">
      <c r="C49" s="30"/>
      <c r="D49" s="30"/>
      <c r="E49" s="30"/>
      <c r="F49" s="30"/>
      <c r="N49" s="27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  <row r="50" spans="3:50" ht="10.5">
      <c r="C50" s="30"/>
      <c r="D50" s="30"/>
      <c r="E50" s="30"/>
      <c r="F50" s="30"/>
      <c r="N50" s="27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3:6" ht="10.5">
      <c r="C51" s="30"/>
      <c r="D51" s="30"/>
      <c r="E51" s="30"/>
      <c r="F51" s="30"/>
    </row>
  </sheetData>
  <sheetProtection/>
  <mergeCells count="25">
    <mergeCell ref="D21:F21"/>
    <mergeCell ref="D22:F22"/>
    <mergeCell ref="D23:F23"/>
    <mergeCell ref="D43:H43"/>
    <mergeCell ref="E29:F29"/>
    <mergeCell ref="E30:F30"/>
    <mergeCell ref="E31:F31"/>
    <mergeCell ref="E32:F32"/>
    <mergeCell ref="G31:H31"/>
    <mergeCell ref="G29:H29"/>
    <mergeCell ref="D19:F19"/>
    <mergeCell ref="D20:F20"/>
    <mergeCell ref="C9:F9"/>
    <mergeCell ref="D24:F24"/>
    <mergeCell ref="D25:F25"/>
    <mergeCell ref="D16:F16"/>
    <mergeCell ref="D17:F17"/>
    <mergeCell ref="D18:F18"/>
    <mergeCell ref="D15:F15"/>
    <mergeCell ref="H5:I5"/>
    <mergeCell ref="G6:I6"/>
    <mergeCell ref="G3:H3"/>
    <mergeCell ref="C12:I12"/>
    <mergeCell ref="C8:I8"/>
    <mergeCell ref="C11:I11"/>
  </mergeCells>
  <hyperlinks>
    <hyperlink ref="L4" location="Положение!A1" display="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 (Указ от 23.10.2009 № 518)"/>
    <hyperlink ref="L5" location="'Расчет на срок &gt; 1 мес (мет.1)'!A1" display="Расчет суммы арендной платы на срок месяц и более (методика 1)"/>
    <hyperlink ref="L6" location="'Расчет на срок &gt; 1 мес (мет.2)'!A1" display="Расчет суммы арендной платы на срок месяц и более (методика 2)"/>
    <hyperlink ref="L7" location="'Расчет на срок &gt; 1 мес (мет.3)'!A1" display="Расчет суммы арендной платы на срок месяц и более (методика 3)"/>
    <hyperlink ref="L8" location="'Бухгалтерская справка'!A1" display="Бухгалтерская справка о размере фактических затрат по управлению и эксплуатации"/>
    <hyperlink ref="L9" location="'Расчет на срок &lt;1 мес (мет.1)'!A1" display="Расчет суммы арендной платы на срок менее месяца (методика 1)"/>
    <hyperlink ref="L10" location="'Расчет на срок &lt;1 мес (мет.2)'!A1" display="Расчет суммы арендной платы на срок менее месяца (методика 2)"/>
    <hyperlink ref="L11" location="'Расчет на срок &lt;1 мес (мет.3)'!A1" display="Расчет суммы арендной платы на срок менее месяца (методика 3)"/>
    <hyperlink ref="L12" location="'Калькуляция 1 м-часа'!A1" display="Калькуляция стоимости 1 машино-часа управления спецмеханизмом (с топливом)"/>
    <hyperlink ref="L13" location="'Калькуляция 1 м-ч (без топлива)'!A1" display="Калькуляция стоимости 1 машино-часа управления спецмеханизмом (без топлива)"/>
    <hyperlink ref="L14" location="топливо!A1" display="Расчет затрат на топливо за 1 маш.-ч для спецтехники"/>
    <hyperlink ref="L15" location="'смазочные материалы'!A1" display="Расчет затрат на смазочные материалы за 1 маш.час для спецтехники"/>
    <hyperlink ref="L16" location="ЗП!A1" display="Расчет  затрат на заработную плату за 1 маш.-час для спецтехники"/>
    <hyperlink ref="L17" location="'расчет % ОПР'!A1" display="Расчет процента общепроизводственных расходов"/>
    <hyperlink ref="L18" location="'расчет % ОХР'!A1" display="Расчет процента общехозяйственных расходов"/>
  </hyperlinks>
  <printOptions/>
  <pageMargins left="0.7" right="0.7" top="0.75" bottom="0.75" header="0.3" footer="0.3"/>
  <pageSetup horizontalDpi="300" verticalDpi="300" orientation="portrait" paperSize="9" scale="98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W3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421875" style="3" customWidth="1"/>
    <col min="2" max="2" width="3.57421875" style="1" customWidth="1"/>
    <col min="3" max="3" width="5.421875" style="1" customWidth="1"/>
    <col min="4" max="4" width="19.140625" style="1" customWidth="1"/>
    <col min="5" max="5" width="14.28125" style="1" customWidth="1"/>
    <col min="6" max="6" width="3.140625" style="1" hidden="1" customWidth="1"/>
    <col min="7" max="7" width="16.28125" style="1" customWidth="1"/>
    <col min="8" max="8" width="24.7109375" style="1" customWidth="1"/>
    <col min="9" max="9" width="3.421875" style="1" customWidth="1"/>
    <col min="10" max="10" width="2.00390625" style="1" customWidth="1"/>
    <col min="11" max="11" width="73.28125" style="1" customWidth="1"/>
    <col min="12" max="16384" width="9.140625" style="1" customWidth="1"/>
  </cols>
  <sheetData>
    <row r="1" spans="1:2" ht="11.25" thickBot="1">
      <c r="A1" s="1"/>
      <c r="B1" s="2" t="s">
        <v>0</v>
      </c>
    </row>
    <row r="2" spans="2:9" ht="10.5">
      <c r="B2" s="4"/>
      <c r="C2" s="5"/>
      <c r="D2" s="5"/>
      <c r="E2" s="5"/>
      <c r="F2" s="5"/>
      <c r="G2" s="5"/>
      <c r="H2" s="5"/>
      <c r="I2" s="6"/>
    </row>
    <row r="3" spans="2:9" ht="10.5">
      <c r="B3" s="7"/>
      <c r="C3" s="141" t="s">
        <v>27</v>
      </c>
      <c r="D3" s="141"/>
      <c r="E3" s="141"/>
      <c r="F3" s="141"/>
      <c r="G3" s="141"/>
      <c r="H3" s="141"/>
      <c r="I3" s="8"/>
    </row>
    <row r="4" spans="2:11" ht="15">
      <c r="B4" s="7"/>
      <c r="C4" s="174" t="s">
        <v>149</v>
      </c>
      <c r="D4" s="174"/>
      <c r="E4" s="174"/>
      <c r="F4" s="174"/>
      <c r="G4" s="174"/>
      <c r="H4" s="174"/>
      <c r="I4" s="8"/>
      <c r="K4" s="66" t="s">
        <v>227</v>
      </c>
    </row>
    <row r="5" spans="2:11" ht="26.25" customHeight="1">
      <c r="B5" s="7"/>
      <c r="C5" s="175" t="str">
        <f>'Расчет на срок &lt;1 мес (мет.1)'!C11:I11</f>
        <v>Бульдозер PR722 Litronic</v>
      </c>
      <c r="D5" s="175"/>
      <c r="E5" s="175"/>
      <c r="F5" s="175"/>
      <c r="G5" s="175"/>
      <c r="H5" s="175"/>
      <c r="I5" s="8"/>
      <c r="K5" s="66" t="s">
        <v>176</v>
      </c>
    </row>
    <row r="6" spans="2:11" ht="15">
      <c r="B6" s="7"/>
      <c r="C6" s="9"/>
      <c r="D6" s="9"/>
      <c r="E6" s="9"/>
      <c r="F6" s="9"/>
      <c r="G6" s="9"/>
      <c r="H6" s="9"/>
      <c r="I6" s="8"/>
      <c r="K6" s="66" t="s">
        <v>177</v>
      </c>
    </row>
    <row r="7" spans="2:11" ht="15">
      <c r="B7" s="7"/>
      <c r="C7" s="10"/>
      <c r="D7" s="10"/>
      <c r="E7" s="10"/>
      <c r="F7" s="10"/>
      <c r="G7" s="11"/>
      <c r="H7" s="11"/>
      <c r="I7" s="8"/>
      <c r="K7" s="66" t="s">
        <v>178</v>
      </c>
    </row>
    <row r="8" spans="2:11" ht="15">
      <c r="B8" s="7"/>
      <c r="C8" s="12" t="s">
        <v>1</v>
      </c>
      <c r="D8" s="176" t="s">
        <v>13</v>
      </c>
      <c r="E8" s="177"/>
      <c r="F8" s="178"/>
      <c r="G8" s="13" t="s">
        <v>14</v>
      </c>
      <c r="H8" s="13" t="s">
        <v>125</v>
      </c>
      <c r="I8" s="8"/>
      <c r="K8" s="66" t="s">
        <v>182</v>
      </c>
    </row>
    <row r="9" spans="1:11" ht="22.5" customHeight="1">
      <c r="A9" s="93"/>
      <c r="B9" s="7"/>
      <c r="C9" s="14">
        <v>1</v>
      </c>
      <c r="D9" s="144" t="str">
        <f>CONCATENATE("Норма расхода топлива на 1 машино-час (работа механизма), ",(IF(G29=1,"ДТ, ","Н-80, ")),"л.")</f>
        <v>Норма расхода топлива на 1 машино-час (работа механизма), ДТ, л.</v>
      </c>
      <c r="E9" s="145"/>
      <c r="F9" s="146"/>
      <c r="G9" s="39"/>
      <c r="H9" s="95">
        <v>22</v>
      </c>
      <c r="I9" s="8"/>
      <c r="J9" s="65"/>
      <c r="K9" s="66" t="s">
        <v>179</v>
      </c>
    </row>
    <row r="10" spans="2:11" ht="27.75" customHeight="1">
      <c r="B10" s="7"/>
      <c r="C10" s="14">
        <v>2</v>
      </c>
      <c r="D10" s="144" t="s">
        <v>152</v>
      </c>
      <c r="E10" s="145"/>
      <c r="F10" s="146"/>
      <c r="G10" s="39">
        <v>0.03</v>
      </c>
      <c r="H10" s="64">
        <f>IF(G27=1,(IF(G29=1,ROUND(H9*G10,1),0)),0)</f>
        <v>0.7</v>
      </c>
      <c r="I10" s="8"/>
      <c r="J10" s="65"/>
      <c r="K10" s="66" t="s">
        <v>180</v>
      </c>
    </row>
    <row r="11" spans="2:11" ht="15.75" customHeight="1">
      <c r="B11" s="7"/>
      <c r="C11" s="14">
        <v>3</v>
      </c>
      <c r="D11" s="144" t="s">
        <v>145</v>
      </c>
      <c r="E11" s="145"/>
      <c r="F11" s="146"/>
      <c r="G11" s="39"/>
      <c r="H11" s="91"/>
      <c r="I11" s="8"/>
      <c r="J11" s="65"/>
      <c r="K11" s="66" t="s">
        <v>181</v>
      </c>
    </row>
    <row r="12" spans="2:11" ht="11.25" customHeight="1">
      <c r="B12" s="7"/>
      <c r="C12" s="98" t="s">
        <v>150</v>
      </c>
      <c r="D12" s="179" t="s">
        <v>146</v>
      </c>
      <c r="E12" s="180"/>
      <c r="F12" s="181"/>
      <c r="G12" s="39"/>
      <c r="H12" s="15">
        <v>2580</v>
      </c>
      <c r="I12" s="8"/>
      <c r="J12" s="65"/>
      <c r="K12" s="66" t="s">
        <v>183</v>
      </c>
    </row>
    <row r="13" spans="2:11" ht="11.25" customHeight="1">
      <c r="B13" s="7"/>
      <c r="C13" s="98" t="s">
        <v>151</v>
      </c>
      <c r="D13" s="179" t="s">
        <v>147</v>
      </c>
      <c r="E13" s="180"/>
      <c r="F13" s="181"/>
      <c r="G13" s="39"/>
      <c r="H13" s="15">
        <v>2250</v>
      </c>
      <c r="I13" s="8"/>
      <c r="J13" s="65"/>
      <c r="K13" s="66" t="s">
        <v>184</v>
      </c>
    </row>
    <row r="14" spans="2:11" ht="15.75" customHeight="1">
      <c r="B14" s="7"/>
      <c r="C14" s="14">
        <v>6</v>
      </c>
      <c r="D14" s="144" t="s">
        <v>148</v>
      </c>
      <c r="E14" s="145"/>
      <c r="F14" s="146"/>
      <c r="G14" s="39"/>
      <c r="H14" s="17">
        <f>IF(G29=1,(ROUND((H9*H12+H10*H13),0)),ROUND(H9*H13,0))</f>
        <v>58335</v>
      </c>
      <c r="I14" s="8"/>
      <c r="J14" s="65"/>
      <c r="K14" s="66" t="s">
        <v>185</v>
      </c>
    </row>
    <row r="15" spans="2:11" ht="15">
      <c r="B15" s="7"/>
      <c r="C15" s="10"/>
      <c r="D15" s="10"/>
      <c r="E15" s="10"/>
      <c r="F15" s="10"/>
      <c r="G15" s="11"/>
      <c r="H15" s="11"/>
      <c r="I15" s="8"/>
      <c r="J15" s="65"/>
      <c r="K15" s="66" t="s">
        <v>186</v>
      </c>
    </row>
    <row r="16" spans="2:11" ht="15">
      <c r="B16" s="7"/>
      <c r="C16" s="10"/>
      <c r="D16" s="10"/>
      <c r="E16" s="10"/>
      <c r="F16" s="10"/>
      <c r="G16" s="11"/>
      <c r="H16" s="11"/>
      <c r="I16" s="8"/>
      <c r="K16" s="66" t="s">
        <v>188</v>
      </c>
    </row>
    <row r="17" spans="2:11" ht="15">
      <c r="B17" s="7"/>
      <c r="C17" s="10"/>
      <c r="D17" s="40" t="s">
        <v>5</v>
      </c>
      <c r="E17" s="151"/>
      <c r="F17" s="151"/>
      <c r="G17" s="75" t="str">
        <f>'Калькуляция 1 м-ч (без топлива)'!G32:H32</f>
        <v>Петрова А.А.</v>
      </c>
      <c r="H17" s="11"/>
      <c r="I17" s="8"/>
      <c r="K17" s="66" t="s">
        <v>74</v>
      </c>
    </row>
    <row r="18" spans="2:11" ht="15">
      <c r="B18" s="7"/>
      <c r="C18" s="10"/>
      <c r="D18" s="40"/>
      <c r="E18" s="152" t="s">
        <v>9</v>
      </c>
      <c r="F18" s="152"/>
      <c r="G18" s="75"/>
      <c r="H18" s="11"/>
      <c r="I18" s="8"/>
      <c r="K18" s="66" t="s">
        <v>90</v>
      </c>
    </row>
    <row r="19" spans="2:9" ht="10.5">
      <c r="B19" s="7"/>
      <c r="C19" s="10"/>
      <c r="D19" s="40" t="s">
        <v>6</v>
      </c>
      <c r="E19" s="151"/>
      <c r="F19" s="151"/>
      <c r="G19" s="75" t="str">
        <f>'Калькуляция 1 м-ч (без топлива)'!G34:H34</f>
        <v>Сидорова А.А.</v>
      </c>
      <c r="H19" s="11"/>
      <c r="I19" s="8"/>
    </row>
    <row r="20" spans="2:9" ht="10.5">
      <c r="B20" s="7"/>
      <c r="C20" s="10"/>
      <c r="D20" s="11"/>
      <c r="E20" s="152" t="s">
        <v>9</v>
      </c>
      <c r="F20" s="152"/>
      <c r="G20" s="11"/>
      <c r="H20" s="11"/>
      <c r="I20" s="8"/>
    </row>
    <row r="21" spans="2:9" ht="10.5">
      <c r="B21" s="7"/>
      <c r="C21" s="10"/>
      <c r="D21" s="10"/>
      <c r="E21" s="10"/>
      <c r="F21" s="10"/>
      <c r="G21" s="11"/>
      <c r="H21" s="11"/>
      <c r="I21" s="8"/>
    </row>
    <row r="22" spans="2:11" ht="15">
      <c r="B22" s="7"/>
      <c r="C22" s="10"/>
      <c r="D22" s="10"/>
      <c r="E22" s="10"/>
      <c r="F22" s="10"/>
      <c r="G22" s="11"/>
      <c r="H22" s="11"/>
      <c r="I22" s="8"/>
      <c r="K22" s="66"/>
    </row>
    <row r="23" spans="1:49" s="22" customFormat="1" ht="10.5">
      <c r="A23" s="18"/>
      <c r="B23" s="19"/>
      <c r="C23" s="20"/>
      <c r="D23" s="20"/>
      <c r="E23" s="20"/>
      <c r="F23" s="20"/>
      <c r="G23" s="20"/>
      <c r="H23" s="20"/>
      <c r="I23" s="21"/>
      <c r="K23" s="1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</row>
    <row r="24" spans="2:49" ht="11.25" thickBot="1">
      <c r="B24" s="24"/>
      <c r="C24" s="25"/>
      <c r="D24" s="25"/>
      <c r="E24" s="25"/>
      <c r="F24" s="25"/>
      <c r="G24" s="25"/>
      <c r="H24" s="25"/>
      <c r="I24" s="26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13:49" ht="10.5"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  <c r="AN25" s="28"/>
      <c r="AO25" s="28"/>
      <c r="AP25" s="28"/>
      <c r="AQ25" s="28"/>
      <c r="AR25" s="28"/>
      <c r="AS25" s="28"/>
      <c r="AT25" s="28"/>
      <c r="AU25" s="28"/>
      <c r="AV25" s="28"/>
      <c r="AW25" s="28"/>
    </row>
    <row r="26" spans="13:49" ht="11.25" thickBot="1">
      <c r="M26" s="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9"/>
      <c r="AI26" s="29"/>
      <c r="AJ26" s="29"/>
      <c r="AK26" s="29"/>
      <c r="AL26" s="29"/>
      <c r="AM26" s="29"/>
      <c r="AN26" s="28"/>
      <c r="AO26" s="28"/>
      <c r="AP26" s="28"/>
      <c r="AQ26" s="28"/>
      <c r="AR26" s="28"/>
      <c r="AS26" s="28"/>
      <c r="AT26" s="28"/>
      <c r="AU26" s="28"/>
      <c r="AV26" s="28"/>
      <c r="AW26" s="28"/>
    </row>
    <row r="27" spans="3:49" ht="32.25" customHeight="1" thickBot="1">
      <c r="C27" s="182" t="s">
        <v>153</v>
      </c>
      <c r="D27" s="182"/>
      <c r="E27" s="182"/>
      <c r="F27" s="183"/>
      <c r="G27" s="96">
        <v>1</v>
      </c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9"/>
      <c r="AI27" s="29"/>
      <c r="AJ27" s="29"/>
      <c r="AK27" s="29"/>
      <c r="AL27" s="29"/>
      <c r="AM27" s="29"/>
      <c r="AN27" s="28"/>
      <c r="AO27" s="28"/>
      <c r="AP27" s="28"/>
      <c r="AQ27" s="28"/>
      <c r="AR27" s="28"/>
      <c r="AS27" s="28"/>
      <c r="AT27" s="28"/>
      <c r="AU27" s="28"/>
      <c r="AV27" s="28"/>
      <c r="AW27" s="28"/>
    </row>
    <row r="28" spans="3:49" ht="13.5" thickBot="1">
      <c r="C28" s="92"/>
      <c r="D28" s="92"/>
      <c r="E28" s="30"/>
      <c r="F28" s="92"/>
      <c r="G28" s="97"/>
      <c r="M28" s="27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/>
      <c r="AI28" s="29"/>
      <c r="AJ28" s="29"/>
      <c r="AK28" s="29"/>
      <c r="AL28" s="29"/>
      <c r="AM28" s="29"/>
      <c r="AN28" s="28"/>
      <c r="AO28" s="28"/>
      <c r="AP28" s="28"/>
      <c r="AQ28" s="28"/>
      <c r="AR28" s="28"/>
      <c r="AS28" s="28"/>
      <c r="AT28" s="28"/>
      <c r="AU28" s="28"/>
      <c r="AV28" s="28"/>
      <c r="AW28" s="28"/>
    </row>
    <row r="29" spans="3:49" ht="37.5" customHeight="1" thickBot="1">
      <c r="C29" s="182" t="s">
        <v>154</v>
      </c>
      <c r="D29" s="182"/>
      <c r="E29" s="182"/>
      <c r="F29" s="183"/>
      <c r="G29" s="96">
        <v>1</v>
      </c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  <c r="AI29" s="29"/>
      <c r="AJ29" s="29"/>
      <c r="AK29" s="29"/>
      <c r="AL29" s="29"/>
      <c r="AM29" s="29"/>
      <c r="AN29" s="28"/>
      <c r="AO29" s="28"/>
      <c r="AP29" s="28"/>
      <c r="AQ29" s="28"/>
      <c r="AR29" s="28"/>
      <c r="AS29" s="28"/>
      <c r="AT29" s="28"/>
      <c r="AU29" s="28"/>
      <c r="AV29" s="28"/>
      <c r="AW29" s="28"/>
    </row>
    <row r="30" spans="3:49" ht="10.5">
      <c r="C30" s="30"/>
      <c r="D30" s="30"/>
      <c r="E30" s="30"/>
      <c r="F30" s="30"/>
      <c r="M30" s="2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9"/>
      <c r="AI30" s="29"/>
      <c r="AJ30" s="29"/>
      <c r="AK30" s="29"/>
      <c r="AL30" s="29"/>
      <c r="AM30" s="29"/>
      <c r="AN30" s="28"/>
      <c r="AO30" s="28"/>
      <c r="AP30" s="28"/>
      <c r="AQ30" s="28"/>
      <c r="AR30" s="28"/>
      <c r="AS30" s="28"/>
      <c r="AT30" s="28"/>
      <c r="AU30" s="28"/>
      <c r="AV30" s="28"/>
      <c r="AW30" s="28"/>
    </row>
    <row r="31" spans="3:49" ht="10.5">
      <c r="C31" s="30"/>
      <c r="D31" s="30"/>
      <c r="E31" s="30"/>
      <c r="F31" s="30"/>
      <c r="M31" s="2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  <c r="AI31" s="29"/>
      <c r="AJ31" s="29"/>
      <c r="AK31" s="29"/>
      <c r="AL31" s="29"/>
      <c r="AM31" s="29"/>
      <c r="AN31" s="28"/>
      <c r="AO31" s="28"/>
      <c r="AP31" s="28"/>
      <c r="AQ31" s="28"/>
      <c r="AR31" s="28"/>
      <c r="AS31" s="28"/>
      <c r="AT31" s="28"/>
      <c r="AU31" s="28"/>
      <c r="AV31" s="28"/>
      <c r="AW31" s="28"/>
    </row>
    <row r="32" spans="3:49" ht="10.5">
      <c r="C32" s="30"/>
      <c r="D32" s="30"/>
      <c r="E32" s="30"/>
      <c r="F32" s="30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  <c r="AI32" s="29"/>
      <c r="AJ32" s="29"/>
      <c r="AK32" s="29"/>
      <c r="AL32" s="29"/>
      <c r="AM32" s="29"/>
      <c r="AN32" s="28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3:49" ht="10.5">
      <c r="C33" s="30"/>
      <c r="D33" s="30"/>
      <c r="E33" s="30"/>
      <c r="F33" s="30"/>
      <c r="M33" s="27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</row>
    <row r="34" spans="3:49" ht="10.5">
      <c r="C34" s="30"/>
      <c r="D34" s="30"/>
      <c r="E34" s="30"/>
      <c r="F34" s="30"/>
      <c r="M34" s="27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</row>
    <row r="35" spans="3:49" ht="10.5">
      <c r="C35" s="30"/>
      <c r="D35" s="30"/>
      <c r="E35" s="30"/>
      <c r="F35" s="30"/>
      <c r="K35" s="22"/>
      <c r="M35" s="27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3:49" ht="10.5">
      <c r="C36" s="30"/>
      <c r="D36" s="30"/>
      <c r="E36" s="30"/>
      <c r="F36" s="30"/>
      <c r="M36" s="27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3:49" ht="10.5">
      <c r="C37" s="30"/>
      <c r="D37" s="30"/>
      <c r="E37" s="30"/>
      <c r="F37" s="30"/>
      <c r="M37" s="27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  <row r="38" spans="3:49" ht="10.5">
      <c r="C38" s="30"/>
      <c r="D38" s="30"/>
      <c r="E38" s="30"/>
      <c r="F38" s="30"/>
      <c r="M38" s="27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3:6" ht="10.5">
      <c r="C39" s="30"/>
      <c r="D39" s="30"/>
      <c r="E39" s="30"/>
      <c r="F39" s="30"/>
    </row>
  </sheetData>
  <sheetProtection/>
  <mergeCells count="16">
    <mergeCell ref="C27:F27"/>
    <mergeCell ref="C29:F29"/>
    <mergeCell ref="D14:F14"/>
    <mergeCell ref="E18:F18"/>
    <mergeCell ref="E19:F19"/>
    <mergeCell ref="E20:F20"/>
    <mergeCell ref="D9:F9"/>
    <mergeCell ref="D10:F10"/>
    <mergeCell ref="D11:F11"/>
    <mergeCell ref="E17:F17"/>
    <mergeCell ref="C3:H3"/>
    <mergeCell ref="C4:H4"/>
    <mergeCell ref="C5:H5"/>
    <mergeCell ref="D8:F8"/>
    <mergeCell ref="D12:F12"/>
    <mergeCell ref="D13:F13"/>
  </mergeCells>
  <hyperlinks>
    <hyperlink ref="K4" location="Положение!A1" display="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 (Указ от 23.10.2009 № 518)"/>
    <hyperlink ref="K5" location="'Расчет на срок &gt; 1 мес (мет.1)'!A1" display="Расчет суммы арендной платы на срок месяц и более (методика 1)"/>
    <hyperlink ref="K6" location="'Расчет на срок &gt; 1 мес (мет.2)'!A1" display="Расчет суммы арендной платы на срок месяц и более (методика 2)"/>
    <hyperlink ref="K7" location="'Расчет на срок &gt; 1 мес (мет.3)'!A1" display="Расчет суммы арендной платы на срок месяц и более (методика 3)"/>
    <hyperlink ref="K8" location="'Бухгалтерская справка'!A1" display="Бухгалтерская справка о размере фактических затрат по управлению и эксплуатации"/>
    <hyperlink ref="K9" location="'Расчет на срок &lt;1 мес (мет.1)'!A1" display="Расчет суммы арендной платы на срок менее месяца (методика 1)"/>
    <hyperlink ref="K10" location="'Расчет на срок &lt;1 мес (мет.2)'!A1" display="Расчет суммы арендной платы на срок менее месяца (методика 2)"/>
    <hyperlink ref="K11" location="'Расчет на срок &lt;1 мес (мет.3)'!A1" display="Расчет суммы арендной платы на срок менее месяца (методика 3)"/>
    <hyperlink ref="K12" location="'Калькуляция 1 м-часа'!A1" display="Калькуляция стоимости 1 машино-часа управления спецмеханизмом (с топливом)"/>
    <hyperlink ref="K13" location="'Калькуляция 1 м-ч (без топлива)'!A1" display="Калькуляция стоимости 1 машино-часа управления спецмеханизмом (без топлива)"/>
    <hyperlink ref="K14" location="топливо!A1" display="Расчет затрат на топливо за 1 маш.-ч для спецтехники"/>
    <hyperlink ref="K15" location="'смазочные материалы'!A1" display="Расчет затрат на смазочные материалы за 1 маш.час для спецтехники"/>
    <hyperlink ref="K16" location="ЗП!A1" display="Расчет  затрат на заработную плату за 1 маш.-час для спецтехники"/>
    <hyperlink ref="K17" location="'расчет % ОПР'!A1" display="Расчет процента общепроизводственных расходов"/>
    <hyperlink ref="K18" location="'расчет % ОХР'!A1" display="Расчет процента общехозяйственных расходов"/>
  </hyperlinks>
  <printOptions/>
  <pageMargins left="0.7" right="0.7" top="0.75" bottom="0.75" header="0.3" footer="0.3"/>
  <pageSetup horizontalDpi="600" verticalDpi="600" orientation="portrait" paperSize="9" scale="99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9" min="1" max="38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W4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421875" style="3" customWidth="1"/>
    <col min="2" max="2" width="3.57421875" style="1" customWidth="1"/>
    <col min="3" max="3" width="5.421875" style="1" customWidth="1"/>
    <col min="4" max="4" width="15.7109375" style="1" customWidth="1"/>
    <col min="5" max="5" width="12.8515625" style="1" customWidth="1"/>
    <col min="6" max="6" width="8.57421875" style="1" customWidth="1"/>
    <col min="7" max="7" width="20.00390625" style="1" customWidth="1"/>
    <col min="8" max="8" width="15.7109375" style="1" customWidth="1"/>
    <col min="9" max="9" width="4.140625" style="1" customWidth="1"/>
    <col min="10" max="10" width="2.00390625" style="1" customWidth="1"/>
    <col min="11" max="11" width="73.28125" style="1" customWidth="1"/>
    <col min="12" max="16384" width="9.140625" style="1" customWidth="1"/>
  </cols>
  <sheetData>
    <row r="1" spans="1:2" ht="11.25" thickBot="1">
      <c r="A1" s="1"/>
      <c r="B1" s="2" t="s">
        <v>0</v>
      </c>
    </row>
    <row r="2" spans="2:9" ht="10.5">
      <c r="B2" s="4"/>
      <c r="C2" s="5"/>
      <c r="D2" s="5"/>
      <c r="E2" s="5"/>
      <c r="F2" s="5"/>
      <c r="G2" s="5"/>
      <c r="H2" s="5"/>
      <c r="I2" s="6"/>
    </row>
    <row r="3" spans="2:9" ht="10.5">
      <c r="B3" s="7"/>
      <c r="C3" s="141" t="s">
        <v>27</v>
      </c>
      <c r="D3" s="141"/>
      <c r="E3" s="141"/>
      <c r="F3" s="141"/>
      <c r="G3" s="141"/>
      <c r="H3" s="141"/>
      <c r="I3" s="8"/>
    </row>
    <row r="4" spans="2:11" ht="15">
      <c r="B4" s="7"/>
      <c r="C4" s="174" t="s">
        <v>155</v>
      </c>
      <c r="D4" s="174"/>
      <c r="E4" s="174"/>
      <c r="F4" s="174"/>
      <c r="G4" s="174"/>
      <c r="H4" s="174"/>
      <c r="I4" s="8"/>
      <c r="K4" s="66" t="s">
        <v>227</v>
      </c>
    </row>
    <row r="5" spans="2:11" ht="26.25" customHeight="1">
      <c r="B5" s="7"/>
      <c r="C5" s="175" t="str">
        <f>'Расчет на срок &lt;1 мес (мет.1)'!C11:I11</f>
        <v>Бульдозер PR722 Litronic</v>
      </c>
      <c r="D5" s="175"/>
      <c r="E5" s="175"/>
      <c r="F5" s="175"/>
      <c r="G5" s="175"/>
      <c r="H5" s="175"/>
      <c r="I5" s="8"/>
      <c r="K5" s="66" t="s">
        <v>176</v>
      </c>
    </row>
    <row r="6" spans="2:11" ht="15">
      <c r="B6" s="7"/>
      <c r="C6" s="9"/>
      <c r="D6" s="9"/>
      <c r="E6" s="9"/>
      <c r="F6" s="9"/>
      <c r="G6" s="9"/>
      <c r="H6" s="9"/>
      <c r="I6" s="8"/>
      <c r="K6" s="66" t="s">
        <v>177</v>
      </c>
    </row>
    <row r="7" spans="2:11" ht="15">
      <c r="B7" s="7"/>
      <c r="C7" s="10"/>
      <c r="D7" s="10"/>
      <c r="E7" s="10"/>
      <c r="F7" s="10"/>
      <c r="G7" s="11"/>
      <c r="H7" s="11"/>
      <c r="I7" s="8"/>
      <c r="K7" s="66" t="s">
        <v>178</v>
      </c>
    </row>
    <row r="8" spans="2:11" ht="15">
      <c r="B8" s="7"/>
      <c r="C8" s="12" t="s">
        <v>1</v>
      </c>
      <c r="D8" s="176" t="s">
        <v>13</v>
      </c>
      <c r="E8" s="177"/>
      <c r="F8" s="177"/>
      <c r="G8" s="178"/>
      <c r="H8" s="13" t="s">
        <v>125</v>
      </c>
      <c r="I8" s="8"/>
      <c r="K8" s="66" t="s">
        <v>182</v>
      </c>
    </row>
    <row r="9" spans="1:11" ht="15" customHeight="1">
      <c r="A9" s="93"/>
      <c r="B9" s="7"/>
      <c r="C9" s="98">
        <v>1</v>
      </c>
      <c r="D9" s="144" t="s">
        <v>156</v>
      </c>
      <c r="E9" s="145"/>
      <c r="F9" s="145"/>
      <c r="G9" s="146"/>
      <c r="H9" s="95"/>
      <c r="I9" s="8"/>
      <c r="J9" s="65"/>
      <c r="K9" s="66" t="s">
        <v>179</v>
      </c>
    </row>
    <row r="10" spans="2:11" ht="15.75" customHeight="1">
      <c r="B10" s="7"/>
      <c r="C10" s="98" t="s">
        <v>163</v>
      </c>
      <c r="D10" s="179" t="s">
        <v>157</v>
      </c>
      <c r="E10" s="180"/>
      <c r="F10" s="180"/>
      <c r="G10" s="181">
        <v>0.05</v>
      </c>
      <c r="H10" s="95">
        <v>4</v>
      </c>
      <c r="I10" s="8"/>
      <c r="J10" s="65"/>
      <c r="K10" s="66" t="s">
        <v>180</v>
      </c>
    </row>
    <row r="11" spans="2:11" ht="15.75" customHeight="1">
      <c r="B11" s="7"/>
      <c r="C11" s="98" t="s">
        <v>164</v>
      </c>
      <c r="D11" s="179" t="s">
        <v>158</v>
      </c>
      <c r="E11" s="180"/>
      <c r="F11" s="180"/>
      <c r="G11" s="181"/>
      <c r="H11" s="95">
        <v>0.2</v>
      </c>
      <c r="I11" s="8"/>
      <c r="J11" s="65"/>
      <c r="K11" s="66" t="s">
        <v>181</v>
      </c>
    </row>
    <row r="12" spans="2:11" ht="15.75" customHeight="1">
      <c r="B12" s="7"/>
      <c r="C12" s="98" t="s">
        <v>165</v>
      </c>
      <c r="D12" s="179" t="s">
        <v>159</v>
      </c>
      <c r="E12" s="180"/>
      <c r="F12" s="180"/>
      <c r="G12" s="181"/>
      <c r="H12" s="95">
        <v>0.8</v>
      </c>
      <c r="I12" s="8"/>
      <c r="J12" s="65"/>
      <c r="K12" s="66" t="s">
        <v>183</v>
      </c>
    </row>
    <row r="13" spans="2:11" ht="15.75" customHeight="1">
      <c r="B13" s="7"/>
      <c r="C13" s="98" t="s">
        <v>166</v>
      </c>
      <c r="D13" s="179" t="s">
        <v>160</v>
      </c>
      <c r="E13" s="180"/>
      <c r="F13" s="180"/>
      <c r="G13" s="181"/>
      <c r="H13" s="95">
        <v>0.8</v>
      </c>
      <c r="I13" s="8"/>
      <c r="J13" s="65"/>
      <c r="K13" s="66" t="s">
        <v>184</v>
      </c>
    </row>
    <row r="14" spans="2:11" ht="15.75" customHeight="1">
      <c r="B14" s="7"/>
      <c r="C14" s="98" t="s">
        <v>167</v>
      </c>
      <c r="D14" s="144" t="s">
        <v>161</v>
      </c>
      <c r="E14" s="145"/>
      <c r="F14" s="145"/>
      <c r="G14" s="146"/>
      <c r="H14" s="95"/>
      <c r="I14" s="8"/>
      <c r="J14" s="65"/>
      <c r="K14" s="66" t="s">
        <v>185</v>
      </c>
    </row>
    <row r="15" spans="2:11" ht="15.75" customHeight="1">
      <c r="B15" s="7"/>
      <c r="C15" s="98" t="s">
        <v>168</v>
      </c>
      <c r="D15" s="179" t="str">
        <f>D10</f>
        <v>моторное</v>
      </c>
      <c r="E15" s="180"/>
      <c r="F15" s="180"/>
      <c r="G15" s="181"/>
      <c r="H15" s="95">
        <v>12000</v>
      </c>
      <c r="I15" s="8"/>
      <c r="J15" s="65"/>
      <c r="K15" s="66" t="s">
        <v>186</v>
      </c>
    </row>
    <row r="16" spans="2:11" ht="15.75" customHeight="1">
      <c r="B16" s="7"/>
      <c r="C16" s="98" t="s">
        <v>169</v>
      </c>
      <c r="D16" s="179" t="str">
        <f>D11</f>
        <v>трансмиссионное</v>
      </c>
      <c r="E16" s="180"/>
      <c r="F16" s="180"/>
      <c r="G16" s="181"/>
      <c r="H16" s="95">
        <v>5680</v>
      </c>
      <c r="I16" s="8"/>
      <c r="J16" s="65"/>
      <c r="K16" s="66" t="s">
        <v>188</v>
      </c>
    </row>
    <row r="17" spans="2:11" ht="15.75" customHeight="1">
      <c r="B17" s="7"/>
      <c r="C17" s="98" t="s">
        <v>170</v>
      </c>
      <c r="D17" s="179" t="str">
        <f>D12</f>
        <v>индустриальное</v>
      </c>
      <c r="E17" s="180"/>
      <c r="F17" s="180"/>
      <c r="G17" s="181"/>
      <c r="H17" s="95">
        <v>6320</v>
      </c>
      <c r="I17" s="8"/>
      <c r="J17" s="65"/>
      <c r="K17" s="66" t="s">
        <v>74</v>
      </c>
    </row>
    <row r="18" spans="2:11" ht="15.75" customHeight="1">
      <c r="B18" s="7"/>
      <c r="C18" s="98" t="s">
        <v>171</v>
      </c>
      <c r="D18" s="179" t="str">
        <f>D13</f>
        <v>пластичные смазки</v>
      </c>
      <c r="E18" s="180"/>
      <c r="F18" s="180"/>
      <c r="G18" s="181"/>
      <c r="H18" s="95">
        <v>18230</v>
      </c>
      <c r="I18" s="8"/>
      <c r="J18" s="65"/>
      <c r="K18" s="66" t="s">
        <v>90</v>
      </c>
    </row>
    <row r="19" spans="2:10" ht="11.25" customHeight="1">
      <c r="B19" s="7"/>
      <c r="C19" s="98" t="s">
        <v>172</v>
      </c>
      <c r="D19" s="144" t="s">
        <v>162</v>
      </c>
      <c r="E19" s="145"/>
      <c r="F19" s="145"/>
      <c r="G19" s="146"/>
      <c r="H19" s="17">
        <f>ROUND((топливо!H9+топливо!H10)/100*(H10*H15+H11*H16+H12*H17+H13*H18),0)</f>
        <v>15612</v>
      </c>
      <c r="I19" s="8"/>
      <c r="J19" s="65"/>
    </row>
    <row r="20" spans="2:10" ht="10.5">
      <c r="B20" s="7"/>
      <c r="C20" s="10"/>
      <c r="D20" s="10"/>
      <c r="E20" s="10"/>
      <c r="F20" s="10"/>
      <c r="G20" s="11"/>
      <c r="H20" s="11"/>
      <c r="I20" s="8"/>
      <c r="J20" s="65"/>
    </row>
    <row r="21" spans="2:9" ht="10.5">
      <c r="B21" s="7"/>
      <c r="C21" s="10"/>
      <c r="D21" s="10"/>
      <c r="E21" s="10"/>
      <c r="F21" s="10"/>
      <c r="G21" s="11"/>
      <c r="H21" s="11"/>
      <c r="I21" s="8"/>
    </row>
    <row r="22" spans="2:11" ht="15">
      <c r="B22" s="7"/>
      <c r="C22" s="10"/>
      <c r="D22" s="40" t="s">
        <v>5</v>
      </c>
      <c r="E22" s="151"/>
      <c r="F22" s="151"/>
      <c r="G22" s="75" t="str">
        <f>'Калькуляция 1 м-ч (без топлива)'!G32:H32</f>
        <v>Петрова А.А.</v>
      </c>
      <c r="H22" s="11"/>
      <c r="I22" s="8"/>
      <c r="K22" s="66"/>
    </row>
    <row r="23" spans="2:9" ht="10.5">
      <c r="B23" s="7"/>
      <c r="C23" s="10"/>
      <c r="D23" s="40"/>
      <c r="E23" s="152" t="s">
        <v>9</v>
      </c>
      <c r="F23" s="152"/>
      <c r="G23" s="75"/>
      <c r="H23" s="11"/>
      <c r="I23" s="8"/>
    </row>
    <row r="24" spans="2:9" ht="10.5">
      <c r="B24" s="7"/>
      <c r="C24" s="10"/>
      <c r="D24" s="40" t="s">
        <v>6</v>
      </c>
      <c r="E24" s="151"/>
      <c r="F24" s="151"/>
      <c r="G24" s="75" t="str">
        <f>'Калькуляция 1 м-ч (без топлива)'!G34:H34</f>
        <v>Сидорова А.А.</v>
      </c>
      <c r="H24" s="11"/>
      <c r="I24" s="8"/>
    </row>
    <row r="25" spans="2:9" ht="10.5">
      <c r="B25" s="7"/>
      <c r="C25" s="10"/>
      <c r="D25" s="11"/>
      <c r="E25" s="152" t="s">
        <v>9</v>
      </c>
      <c r="F25" s="152"/>
      <c r="G25" s="11"/>
      <c r="H25" s="11"/>
      <c r="I25" s="8"/>
    </row>
    <row r="26" spans="2:9" ht="10.5">
      <c r="B26" s="7"/>
      <c r="C26" s="10"/>
      <c r="D26" s="10"/>
      <c r="E26" s="10"/>
      <c r="F26" s="10"/>
      <c r="G26" s="11"/>
      <c r="H26" s="11"/>
      <c r="I26" s="8"/>
    </row>
    <row r="27" spans="2:9" ht="10.5">
      <c r="B27" s="7"/>
      <c r="C27" s="10"/>
      <c r="D27" s="10"/>
      <c r="E27" s="10"/>
      <c r="F27" s="10"/>
      <c r="G27" s="11"/>
      <c r="H27" s="11"/>
      <c r="I27" s="8"/>
    </row>
    <row r="28" spans="1:49" s="22" customFormat="1" ht="10.5">
      <c r="A28" s="18"/>
      <c r="B28" s="19"/>
      <c r="C28" s="20"/>
      <c r="D28" s="20"/>
      <c r="E28" s="20"/>
      <c r="F28" s="20"/>
      <c r="G28" s="20"/>
      <c r="H28" s="20"/>
      <c r="I28" s="21"/>
      <c r="K28" s="1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</row>
    <row r="29" spans="2:49" ht="11.25" thickBot="1">
      <c r="B29" s="24"/>
      <c r="C29" s="25"/>
      <c r="D29" s="25"/>
      <c r="E29" s="25"/>
      <c r="F29" s="25"/>
      <c r="G29" s="25"/>
      <c r="H29" s="25"/>
      <c r="I29" s="26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</row>
    <row r="30" spans="13:49" ht="10.5">
      <c r="M30" s="2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9"/>
      <c r="AN30" s="28"/>
      <c r="AO30" s="28"/>
      <c r="AP30" s="28"/>
      <c r="AQ30" s="28"/>
      <c r="AR30" s="28"/>
      <c r="AS30" s="28"/>
      <c r="AT30" s="28"/>
      <c r="AU30" s="28"/>
      <c r="AV30" s="28"/>
      <c r="AW30" s="28"/>
    </row>
    <row r="31" spans="13:49" ht="11.25" thickBot="1">
      <c r="M31" s="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  <c r="AI31" s="29"/>
      <c r="AJ31" s="29"/>
      <c r="AK31" s="29"/>
      <c r="AL31" s="29"/>
      <c r="AM31" s="29"/>
      <c r="AN31" s="28"/>
      <c r="AO31" s="28"/>
      <c r="AP31" s="28"/>
      <c r="AQ31" s="28"/>
      <c r="AR31" s="28"/>
      <c r="AS31" s="28"/>
      <c r="AT31" s="28"/>
      <c r="AU31" s="28"/>
      <c r="AV31" s="28"/>
      <c r="AW31" s="28"/>
    </row>
    <row r="32" spans="3:49" ht="32.25" customHeight="1" thickBot="1">
      <c r="C32" s="182" t="s">
        <v>153</v>
      </c>
      <c r="D32" s="182"/>
      <c r="E32" s="182"/>
      <c r="F32" s="183"/>
      <c r="G32" s="96">
        <v>1</v>
      </c>
      <c r="M32" s="2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  <c r="AI32" s="29"/>
      <c r="AJ32" s="29"/>
      <c r="AK32" s="29"/>
      <c r="AL32" s="29"/>
      <c r="AM32" s="29"/>
      <c r="AN32" s="28"/>
      <c r="AO32" s="28"/>
      <c r="AP32" s="28"/>
      <c r="AQ32" s="28"/>
      <c r="AR32" s="28"/>
      <c r="AS32" s="28"/>
      <c r="AT32" s="28"/>
      <c r="AU32" s="28"/>
      <c r="AV32" s="28"/>
      <c r="AW32" s="28"/>
    </row>
    <row r="33" spans="3:49" ht="13.5" thickBot="1">
      <c r="C33" s="92"/>
      <c r="D33" s="92"/>
      <c r="E33" s="30"/>
      <c r="F33" s="92"/>
      <c r="G33" s="97"/>
      <c r="M33" s="27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9"/>
      <c r="AI33" s="29"/>
      <c r="AJ33" s="29"/>
      <c r="AK33" s="29"/>
      <c r="AL33" s="29"/>
      <c r="AM33" s="29"/>
      <c r="AN33" s="28"/>
      <c r="AO33" s="28"/>
      <c r="AP33" s="28"/>
      <c r="AQ33" s="28"/>
      <c r="AR33" s="28"/>
      <c r="AS33" s="28"/>
      <c r="AT33" s="28"/>
      <c r="AU33" s="28"/>
      <c r="AV33" s="28"/>
      <c r="AW33" s="28"/>
    </row>
    <row r="34" spans="3:49" ht="37.5" customHeight="1" thickBot="1">
      <c r="C34" s="182" t="s">
        <v>154</v>
      </c>
      <c r="D34" s="182"/>
      <c r="E34" s="182"/>
      <c r="F34" s="183"/>
      <c r="G34" s="96">
        <v>1</v>
      </c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9"/>
      <c r="AI34" s="29"/>
      <c r="AJ34" s="29"/>
      <c r="AK34" s="29"/>
      <c r="AL34" s="29"/>
      <c r="AM34" s="29"/>
      <c r="AN34" s="28"/>
      <c r="AO34" s="28"/>
      <c r="AP34" s="28"/>
      <c r="AQ34" s="28"/>
      <c r="AR34" s="28"/>
      <c r="AS34" s="28"/>
      <c r="AT34" s="28"/>
      <c r="AU34" s="28"/>
      <c r="AV34" s="28"/>
      <c r="AW34" s="28"/>
    </row>
    <row r="35" spans="3:49" ht="10.5">
      <c r="C35" s="30"/>
      <c r="D35" s="30"/>
      <c r="E35" s="30"/>
      <c r="F35" s="30"/>
      <c r="K35" s="22"/>
      <c r="M35" s="27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9"/>
      <c r="AI35" s="29"/>
      <c r="AJ35" s="29"/>
      <c r="AK35" s="29"/>
      <c r="AL35" s="29"/>
      <c r="AM35" s="29"/>
      <c r="AN35" s="28"/>
      <c r="AO35" s="28"/>
      <c r="AP35" s="28"/>
      <c r="AQ35" s="28"/>
      <c r="AR35" s="28"/>
      <c r="AS35" s="28"/>
      <c r="AT35" s="28"/>
      <c r="AU35" s="28"/>
      <c r="AV35" s="28"/>
      <c r="AW35" s="28"/>
    </row>
    <row r="36" spans="3:49" ht="10.5">
      <c r="C36" s="30"/>
      <c r="D36" s="30"/>
      <c r="E36" s="30"/>
      <c r="F36" s="30"/>
      <c r="M36" s="27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9"/>
      <c r="AI36" s="29"/>
      <c r="AJ36" s="29"/>
      <c r="AK36" s="29"/>
      <c r="AL36" s="29"/>
      <c r="AM36" s="29"/>
      <c r="AN36" s="28"/>
      <c r="AO36" s="28"/>
      <c r="AP36" s="28"/>
      <c r="AQ36" s="28"/>
      <c r="AR36" s="28"/>
      <c r="AS36" s="28"/>
      <c r="AT36" s="28"/>
      <c r="AU36" s="28"/>
      <c r="AV36" s="28"/>
      <c r="AW36" s="28"/>
    </row>
    <row r="37" spans="3:49" ht="10.5">
      <c r="C37" s="30"/>
      <c r="D37" s="30"/>
      <c r="E37" s="30"/>
      <c r="F37" s="30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9"/>
      <c r="AI37" s="29"/>
      <c r="AJ37" s="29"/>
      <c r="AK37" s="29"/>
      <c r="AL37" s="29"/>
      <c r="AM37" s="29"/>
      <c r="AN37" s="28"/>
      <c r="AO37" s="28"/>
      <c r="AP37" s="28"/>
      <c r="AQ37" s="28"/>
      <c r="AR37" s="28"/>
      <c r="AS37" s="28"/>
      <c r="AT37" s="28"/>
      <c r="AU37" s="28"/>
      <c r="AV37" s="28"/>
      <c r="AW37" s="28"/>
    </row>
    <row r="38" spans="3:49" ht="10.5">
      <c r="C38" s="30"/>
      <c r="D38" s="30"/>
      <c r="E38" s="30"/>
      <c r="F38" s="30"/>
      <c r="M38" s="27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</row>
    <row r="39" spans="3:49" ht="10.5">
      <c r="C39" s="30"/>
      <c r="D39" s="30"/>
      <c r="E39" s="30"/>
      <c r="F39" s="30"/>
      <c r="M39" s="27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</row>
    <row r="40" spans="3:49" ht="10.5">
      <c r="C40" s="30"/>
      <c r="D40" s="30"/>
      <c r="E40" s="30"/>
      <c r="F40" s="30"/>
      <c r="M40" s="27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3:49" ht="10.5">
      <c r="C41" s="30"/>
      <c r="D41" s="30"/>
      <c r="E41" s="30"/>
      <c r="F41" s="30"/>
      <c r="M41" s="27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</row>
    <row r="42" spans="3:49" ht="10.5">
      <c r="C42" s="30"/>
      <c r="D42" s="30"/>
      <c r="E42" s="30"/>
      <c r="F42" s="30"/>
      <c r="M42" s="27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</row>
    <row r="43" spans="3:49" ht="10.5">
      <c r="C43" s="30"/>
      <c r="D43" s="30"/>
      <c r="E43" s="30"/>
      <c r="F43" s="30"/>
      <c r="M43" s="27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</row>
    <row r="44" spans="3:6" ht="10.5">
      <c r="C44" s="30"/>
      <c r="D44" s="30"/>
      <c r="E44" s="30"/>
      <c r="F44" s="30"/>
    </row>
  </sheetData>
  <sheetProtection/>
  <mergeCells count="21">
    <mergeCell ref="D15:G15"/>
    <mergeCell ref="C3:H3"/>
    <mergeCell ref="C4:H4"/>
    <mergeCell ref="C5:H5"/>
    <mergeCell ref="D16:G16"/>
    <mergeCell ref="E24:F24"/>
    <mergeCell ref="E25:F25"/>
    <mergeCell ref="D11:G11"/>
    <mergeCell ref="D12:G12"/>
    <mergeCell ref="D13:G13"/>
    <mergeCell ref="D14:G14"/>
    <mergeCell ref="C32:F32"/>
    <mergeCell ref="C34:F34"/>
    <mergeCell ref="D8:G8"/>
    <mergeCell ref="E22:F22"/>
    <mergeCell ref="E23:F23"/>
    <mergeCell ref="D17:G17"/>
    <mergeCell ref="D18:G18"/>
    <mergeCell ref="D19:G19"/>
    <mergeCell ref="D9:G9"/>
    <mergeCell ref="D10:G10"/>
  </mergeCells>
  <hyperlinks>
    <hyperlink ref="K4" location="Положение!A1" display="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 (Указ от 23.10.2009 № 518)"/>
    <hyperlink ref="K5" location="'Расчет на срок &gt; 1 мес (мет.1)'!A1" display="Расчет суммы арендной платы на срок месяц и более (методика 1)"/>
    <hyperlink ref="K6" location="'Расчет на срок &gt; 1 мес (мет.2)'!A1" display="Расчет суммы арендной платы на срок месяц и более (методика 2)"/>
    <hyperlink ref="K7" location="'Расчет на срок &gt; 1 мес (мет.3)'!A1" display="Расчет суммы арендной платы на срок месяц и более (методика 3)"/>
    <hyperlink ref="K8" location="'Бухгалтерская справка'!A1" display="Бухгалтерская справка о размере фактических затрат по управлению и эксплуатации"/>
    <hyperlink ref="K9" location="'Расчет на срок &lt;1 мес (мет.1)'!A1" display="Расчет суммы арендной платы на срок менее месяца (методика 1)"/>
    <hyperlink ref="K10" location="'Расчет на срок &lt;1 мес (мет.2)'!A1" display="Расчет суммы арендной платы на срок менее месяца (методика 2)"/>
    <hyperlink ref="K11" location="'Расчет на срок &lt;1 мес (мет.3)'!A1" display="Расчет суммы арендной платы на срок менее месяца (методика 3)"/>
    <hyperlink ref="K12" location="'Калькуляция 1 м-часа'!A1" display="Калькуляция стоимости 1 машино-часа управления спецмеханизмом (с топливом)"/>
    <hyperlink ref="K13" location="'Калькуляция 1 м-ч (без топлива)'!A1" display="Калькуляция стоимости 1 машино-часа управления спецмеханизмом (без топлива)"/>
    <hyperlink ref="K14" location="топливо!A1" display="Расчет затрат на топливо за 1 маш.-ч для спецтехники"/>
    <hyperlink ref="K15" location="'смазочные материалы'!A1" display="Расчет затрат на смазочные материалы за 1 маш.час для спецтехники"/>
    <hyperlink ref="K16" location="ЗП!A1" display="Расчет  затрат на заработную плату за 1 маш.-час для спецтехники"/>
    <hyperlink ref="K17" location="'расчет % ОПР'!A1" display="Расчет процента общепроизводственных расходов"/>
    <hyperlink ref="K18" location="'расчет % ОХР'!A1" display="Расчет процента общехозяйственных расходов"/>
  </hyperlinks>
  <printOptions/>
  <pageMargins left="0.7" right="0.7" top="0.75" bottom="0.75" header="0.3" footer="0.3"/>
  <pageSetup horizontalDpi="600" verticalDpi="6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B35"/>
  <sheetViews>
    <sheetView zoomScalePageLayoutView="0" workbookViewId="0" topLeftCell="A1">
      <selection activeCell="R5" sqref="R5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7.7109375" style="1" customWidth="1"/>
    <col min="5" max="5" width="8.8515625" style="1" customWidth="1"/>
    <col min="6" max="6" width="7.8515625" style="1" bestFit="1" customWidth="1"/>
    <col min="7" max="7" width="7.57421875" style="1" bestFit="1" customWidth="1"/>
    <col min="8" max="8" width="7.8515625" style="1" bestFit="1" customWidth="1"/>
    <col min="9" max="9" width="7.28125" style="1" customWidth="1"/>
    <col min="10" max="10" width="5.7109375" style="1" bestFit="1" customWidth="1"/>
    <col min="11" max="11" width="6.57421875" style="1" bestFit="1" customWidth="1"/>
    <col min="12" max="12" width="6.28125" style="1" customWidth="1"/>
    <col min="13" max="13" width="6.57421875" style="1" customWidth="1"/>
    <col min="14" max="14" width="8.7109375" style="1" bestFit="1" customWidth="1"/>
    <col min="15" max="15" width="9.57421875" style="1" bestFit="1" customWidth="1"/>
    <col min="16" max="16" width="4.00390625" style="1" customWidth="1"/>
    <col min="17" max="17" width="5.421875" style="1" customWidth="1"/>
    <col min="18" max="18" width="73.28125" style="1" customWidth="1"/>
    <col min="19" max="16384" width="9.140625" style="1" customWidth="1"/>
  </cols>
  <sheetData>
    <row r="1" spans="1:2" ht="11.25" thickBot="1">
      <c r="A1" s="1"/>
      <c r="B1" s="2" t="s">
        <v>0</v>
      </c>
    </row>
    <row r="2" spans="2:16" ht="10.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10"/>
      <c r="P2" s="6"/>
    </row>
    <row r="3" spans="2:16" ht="10.5">
      <c r="B3" s="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77"/>
      <c r="P3" s="8"/>
    </row>
    <row r="4" spans="2:18" ht="15">
      <c r="B4" s="7"/>
      <c r="C4" s="141" t="s">
        <v>27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11"/>
      <c r="R4" s="66" t="s">
        <v>227</v>
      </c>
    </row>
    <row r="5" spans="2:18" ht="15">
      <c r="B5" s="7"/>
      <c r="C5" s="174" t="s">
        <v>187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12"/>
      <c r="R5" s="66" t="s">
        <v>176</v>
      </c>
    </row>
    <row r="6" spans="2:18" ht="15">
      <c r="B6" s="7"/>
      <c r="C6" s="164" t="str">
        <f>'смазочные материалы'!C5:H5</f>
        <v>Бульдозер PR722 Litronic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99"/>
      <c r="R6" s="66" t="s">
        <v>177</v>
      </c>
    </row>
    <row r="7" spans="2:18" ht="15">
      <c r="B7" s="7"/>
      <c r="C7" s="187" t="s">
        <v>41</v>
      </c>
      <c r="D7" s="187"/>
      <c r="E7" s="187"/>
      <c r="F7" s="187"/>
      <c r="G7" s="48">
        <v>170000</v>
      </c>
      <c r="H7" s="40" t="s">
        <v>44</v>
      </c>
      <c r="I7" s="44"/>
      <c r="J7" s="78"/>
      <c r="K7" s="78"/>
      <c r="L7" s="78"/>
      <c r="M7" s="78"/>
      <c r="N7" s="78"/>
      <c r="O7" s="78"/>
      <c r="P7" s="99"/>
      <c r="R7" s="66" t="s">
        <v>178</v>
      </c>
    </row>
    <row r="8" spans="2:18" ht="15">
      <c r="B8" s="7"/>
      <c r="C8" s="187" t="s">
        <v>228</v>
      </c>
      <c r="D8" s="187"/>
      <c r="E8" s="187"/>
      <c r="F8" s="187"/>
      <c r="G8" s="48">
        <v>2037</v>
      </c>
      <c r="H8" s="40" t="s">
        <v>43</v>
      </c>
      <c r="I8" s="44"/>
      <c r="J8" s="78"/>
      <c r="K8" s="78"/>
      <c r="L8" s="78"/>
      <c r="M8" s="78"/>
      <c r="N8" s="78"/>
      <c r="O8" s="78"/>
      <c r="P8" s="99"/>
      <c r="R8" s="66" t="s">
        <v>182</v>
      </c>
    </row>
    <row r="9" spans="2:18" ht="15">
      <c r="B9" s="7"/>
      <c r="C9" s="187" t="s">
        <v>229</v>
      </c>
      <c r="D9" s="187"/>
      <c r="E9" s="187"/>
      <c r="F9" s="187"/>
      <c r="G9" s="45">
        <f>ROUND(G8/12,1)</f>
        <v>169.8</v>
      </c>
      <c r="H9" s="40" t="s">
        <v>43</v>
      </c>
      <c r="I9" s="44"/>
      <c r="J9" s="78"/>
      <c r="K9" s="78"/>
      <c r="L9" s="78"/>
      <c r="M9" s="78"/>
      <c r="N9" s="78"/>
      <c r="O9" s="78"/>
      <c r="P9" s="99"/>
      <c r="R9" s="66" t="s">
        <v>179</v>
      </c>
    </row>
    <row r="10" spans="2:18" ht="15">
      <c r="B10" s="7"/>
      <c r="C10" s="187" t="s">
        <v>42</v>
      </c>
      <c r="D10" s="187"/>
      <c r="E10" s="187"/>
      <c r="F10" s="187"/>
      <c r="G10" s="46">
        <f>ROUND(G7/G9,0)</f>
        <v>1001</v>
      </c>
      <c r="H10" s="40" t="s">
        <v>44</v>
      </c>
      <c r="I10" s="9"/>
      <c r="J10" s="9"/>
      <c r="K10" s="9"/>
      <c r="L10" s="9"/>
      <c r="M10" s="9"/>
      <c r="N10" s="9"/>
      <c r="O10" s="9"/>
      <c r="P10" s="99"/>
      <c r="R10" s="66" t="s">
        <v>180</v>
      </c>
    </row>
    <row r="11" spans="2:18" ht="15">
      <c r="B11" s="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9"/>
      <c r="R11" s="66" t="s">
        <v>181</v>
      </c>
    </row>
    <row r="12" spans="2:18" ht="55.5" customHeight="1">
      <c r="B12" s="7"/>
      <c r="C12" s="185" t="s">
        <v>1</v>
      </c>
      <c r="D12" s="185" t="s">
        <v>28</v>
      </c>
      <c r="E12" s="185" t="s">
        <v>173</v>
      </c>
      <c r="F12" s="185" t="s">
        <v>39</v>
      </c>
      <c r="G12" s="185" t="s">
        <v>40</v>
      </c>
      <c r="H12" s="185" t="s">
        <v>191</v>
      </c>
      <c r="I12" s="185" t="s">
        <v>29</v>
      </c>
      <c r="J12" s="185" t="s">
        <v>30</v>
      </c>
      <c r="K12" s="185"/>
      <c r="L12" s="185" t="s">
        <v>46</v>
      </c>
      <c r="M12" s="185"/>
      <c r="N12" s="185" t="s">
        <v>47</v>
      </c>
      <c r="O12" s="185" t="s">
        <v>31</v>
      </c>
      <c r="P12" s="99"/>
      <c r="R12" s="66" t="s">
        <v>183</v>
      </c>
    </row>
    <row r="13" spans="2:18" ht="38.25" customHeight="1">
      <c r="B13" s="7"/>
      <c r="C13" s="185"/>
      <c r="D13" s="185"/>
      <c r="E13" s="185"/>
      <c r="F13" s="185"/>
      <c r="G13" s="185"/>
      <c r="H13" s="185"/>
      <c r="I13" s="185"/>
      <c r="J13" s="42" t="s">
        <v>45</v>
      </c>
      <c r="K13" s="42" t="s">
        <v>36</v>
      </c>
      <c r="L13" s="42" t="s">
        <v>45</v>
      </c>
      <c r="M13" s="42" t="s">
        <v>36</v>
      </c>
      <c r="N13" s="185"/>
      <c r="O13" s="185"/>
      <c r="P13" s="99"/>
      <c r="R13" s="66" t="s">
        <v>184</v>
      </c>
    </row>
    <row r="14" spans="2:41" ht="15">
      <c r="B14" s="7"/>
      <c r="C14" s="14">
        <v>1</v>
      </c>
      <c r="D14" s="41" t="s">
        <v>174</v>
      </c>
      <c r="E14" s="14">
        <v>8</v>
      </c>
      <c r="F14" s="43">
        <v>1</v>
      </c>
      <c r="G14" s="14">
        <v>2.12</v>
      </c>
      <c r="H14" s="14">
        <v>1.4</v>
      </c>
      <c r="I14" s="16">
        <f>H14*G14*$G$7</f>
        <v>504560</v>
      </c>
      <c r="J14" s="14">
        <v>1.2</v>
      </c>
      <c r="K14" s="16">
        <f>I14*(J14-1)</f>
        <v>100911.99999999997</v>
      </c>
      <c r="L14" s="47">
        <v>1</v>
      </c>
      <c r="M14" s="16">
        <f>I14*(L14-1)</f>
        <v>0</v>
      </c>
      <c r="N14" s="16">
        <f>ROUND(I14+K14+M14,-1)</f>
        <v>605470</v>
      </c>
      <c r="O14" s="16">
        <f>N14*12*F14</f>
        <v>7265640</v>
      </c>
      <c r="P14" s="99"/>
      <c r="Q14" s="65"/>
      <c r="R14" s="66" t="s">
        <v>185</v>
      </c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</row>
    <row r="15" spans="2:41" ht="15">
      <c r="B15" s="7"/>
      <c r="C15" s="100"/>
      <c r="D15" s="101"/>
      <c r="E15" s="102"/>
      <c r="F15" s="103"/>
      <c r="G15" s="100"/>
      <c r="H15" s="100"/>
      <c r="I15" s="104"/>
      <c r="J15" s="100"/>
      <c r="K15" s="104"/>
      <c r="L15" s="105"/>
      <c r="M15" s="104"/>
      <c r="N15" s="104"/>
      <c r="O15" s="104"/>
      <c r="P15" s="99"/>
      <c r="Q15" s="65"/>
      <c r="R15" s="66" t="s">
        <v>186</v>
      </c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</row>
    <row r="16" spans="2:41" ht="15">
      <c r="B16" s="7"/>
      <c r="C16" s="90"/>
      <c r="D16" s="37"/>
      <c r="E16" s="106"/>
      <c r="F16" s="107"/>
      <c r="G16" s="90"/>
      <c r="H16" s="90"/>
      <c r="I16" s="108"/>
      <c r="J16" s="90"/>
      <c r="K16" s="108"/>
      <c r="L16" s="109"/>
      <c r="M16" s="108"/>
      <c r="N16" s="108"/>
      <c r="O16" s="108"/>
      <c r="P16" s="99"/>
      <c r="Q16" s="65"/>
      <c r="R16" s="66" t="s">
        <v>188</v>
      </c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</row>
    <row r="17" spans="2:41" ht="27" customHeight="1">
      <c r="B17" s="7"/>
      <c r="C17" s="184" t="s">
        <v>1</v>
      </c>
      <c r="D17" s="184" t="s">
        <v>28</v>
      </c>
      <c r="E17" s="184" t="s">
        <v>3</v>
      </c>
      <c r="F17" s="184"/>
      <c r="G17" s="184" t="s">
        <v>32</v>
      </c>
      <c r="H17" s="184"/>
      <c r="I17" s="184" t="s">
        <v>33</v>
      </c>
      <c r="J17" s="184"/>
      <c r="K17" s="184" t="s">
        <v>48</v>
      </c>
      <c r="L17" s="184"/>
      <c r="M17" s="184"/>
      <c r="N17" s="184" t="s">
        <v>34</v>
      </c>
      <c r="O17" s="186" t="s">
        <v>35</v>
      </c>
      <c r="P17" s="99"/>
      <c r="Q17" s="65"/>
      <c r="R17" s="66" t="s">
        <v>74</v>
      </c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</row>
    <row r="18" spans="2:41" ht="54">
      <c r="B18" s="7"/>
      <c r="C18" s="185"/>
      <c r="D18" s="185"/>
      <c r="E18" s="42" t="s">
        <v>37</v>
      </c>
      <c r="F18" s="42" t="s">
        <v>36</v>
      </c>
      <c r="G18" s="42" t="s">
        <v>37</v>
      </c>
      <c r="H18" s="42" t="s">
        <v>36</v>
      </c>
      <c r="I18" s="42" t="s">
        <v>37</v>
      </c>
      <c r="J18" s="42" t="s">
        <v>36</v>
      </c>
      <c r="K18" s="42" t="s">
        <v>37</v>
      </c>
      <c r="L18" s="42" t="s">
        <v>49</v>
      </c>
      <c r="M18" s="42" t="s">
        <v>38</v>
      </c>
      <c r="N18" s="185"/>
      <c r="O18" s="184"/>
      <c r="P18" s="99"/>
      <c r="Q18" s="65"/>
      <c r="R18" s="66" t="s">
        <v>90</v>
      </c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</row>
    <row r="19" spans="2:41" ht="12.75">
      <c r="B19" s="7"/>
      <c r="C19" s="14">
        <f>C14</f>
        <v>1</v>
      </c>
      <c r="D19" s="41" t="str">
        <f>D14</f>
        <v>Машинист бульдозера</v>
      </c>
      <c r="E19" s="39">
        <v>0.2</v>
      </c>
      <c r="F19" s="16">
        <f>O14*E19</f>
        <v>1453128</v>
      </c>
      <c r="G19" s="39">
        <v>0.1</v>
      </c>
      <c r="H19" s="16">
        <f>O14*G19</f>
        <v>726564</v>
      </c>
      <c r="I19" s="39">
        <v>0.01</v>
      </c>
      <c r="J19" s="16">
        <f>O14*I19</f>
        <v>72656.40000000001</v>
      </c>
      <c r="K19" s="39">
        <v>0.0012</v>
      </c>
      <c r="L19" s="16">
        <f>G8</f>
        <v>2037</v>
      </c>
      <c r="M19" s="16">
        <f>$G$7*K19*L19*F14</f>
        <v>415547.99999999994</v>
      </c>
      <c r="N19" s="16">
        <f>ROUND(O14+F19+H19+J19+M19,0)</f>
        <v>9933536</v>
      </c>
      <c r="O19" s="16">
        <f>ROUND((N19/12)/$G$9,0)</f>
        <v>4875</v>
      </c>
      <c r="P19" s="99"/>
      <c r="Q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</row>
    <row r="20" spans="2:41" ht="12.75">
      <c r="B20" s="7"/>
      <c r="C20" s="14"/>
      <c r="D20" s="41"/>
      <c r="E20" s="39"/>
      <c r="F20" s="16"/>
      <c r="G20" s="39"/>
      <c r="H20" s="16"/>
      <c r="I20" s="39"/>
      <c r="J20" s="16"/>
      <c r="K20" s="39"/>
      <c r="L20" s="16"/>
      <c r="M20" s="16"/>
      <c r="N20" s="16"/>
      <c r="O20" s="16"/>
      <c r="P20" s="99"/>
      <c r="Q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</row>
    <row r="21" spans="2:41" ht="12.75"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99"/>
      <c r="Q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</row>
    <row r="22" spans="2:54" ht="15.75" thickBot="1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13"/>
      <c r="Q22" s="65"/>
      <c r="R22" s="66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3:54" ht="10.5">
      <c r="C23" s="30"/>
      <c r="D23" s="3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  <c r="AN23" s="29"/>
      <c r="AO23" s="29"/>
      <c r="AP23" s="29"/>
      <c r="AQ23" s="29"/>
      <c r="AR23" s="29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3:54" ht="10.5">
      <c r="C24" s="30"/>
      <c r="D24" s="3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9"/>
      <c r="AN24" s="29"/>
      <c r="AO24" s="29"/>
      <c r="AP24" s="29"/>
      <c r="AQ24" s="29"/>
      <c r="AR24" s="29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3:54" ht="10.5">
      <c r="C25" s="30"/>
      <c r="D25" s="30"/>
      <c r="S25" s="27"/>
      <c r="T25" s="27"/>
      <c r="U25" s="27"/>
      <c r="V25" s="27"/>
      <c r="W25" s="27"/>
      <c r="X25" s="27"/>
      <c r="Y25" s="27"/>
      <c r="Z25" s="27"/>
      <c r="AA25" s="2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  <c r="AN25" s="29"/>
      <c r="AO25" s="29"/>
      <c r="AP25" s="29"/>
      <c r="AQ25" s="29"/>
      <c r="AR25" s="29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3:54" ht="10.5">
      <c r="C26" s="30"/>
      <c r="D26" s="3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3:54" ht="10.5">
      <c r="C27" s="30"/>
      <c r="D27" s="30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3:54" ht="10.5">
      <c r="C28" s="30"/>
      <c r="D28" s="30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3:54" ht="10.5">
      <c r="C29" s="30"/>
      <c r="D29" s="30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3:54" ht="10.5">
      <c r="C30" s="30"/>
      <c r="D30" s="30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3:54" ht="10.5">
      <c r="C31" s="30"/>
      <c r="D31" s="30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3:4" ht="10.5">
      <c r="C32" s="30"/>
      <c r="D32" s="30"/>
    </row>
    <row r="35" ht="10.5">
      <c r="R35" s="22"/>
    </row>
  </sheetData>
  <sheetProtection/>
  <mergeCells count="26">
    <mergeCell ref="E17:F17"/>
    <mergeCell ref="G17:H17"/>
    <mergeCell ref="I17:J17"/>
    <mergeCell ref="K17:M17"/>
    <mergeCell ref="N17:N18"/>
    <mergeCell ref="H12:H13"/>
    <mergeCell ref="I12:I13"/>
    <mergeCell ref="J12:K12"/>
    <mergeCell ref="L12:M12"/>
    <mergeCell ref="N12:N13"/>
    <mergeCell ref="C10:F10"/>
    <mergeCell ref="C12:C13"/>
    <mergeCell ref="D12:D13"/>
    <mergeCell ref="E12:E13"/>
    <mergeCell ref="F12:F13"/>
    <mergeCell ref="G12:G13"/>
    <mergeCell ref="C17:C18"/>
    <mergeCell ref="D17:D18"/>
    <mergeCell ref="O17:O18"/>
    <mergeCell ref="C4:O4"/>
    <mergeCell ref="C5:O5"/>
    <mergeCell ref="C6:O6"/>
    <mergeCell ref="C7:F7"/>
    <mergeCell ref="C8:F8"/>
    <mergeCell ref="C9:F9"/>
    <mergeCell ref="O12:O13"/>
  </mergeCells>
  <hyperlinks>
    <hyperlink ref="R4" location="Положение!A1" display="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 (Указ от 23.10.2009 № 518)"/>
    <hyperlink ref="R5" location="'Расчет на срок &gt; 1 мес (мет.1)'!A1" display="Расчет суммы арендной платы на срок месяц и более (методика 1)"/>
    <hyperlink ref="R6" location="'Расчет на срок &gt; 1 мес (мет.2)'!A1" display="Расчет суммы арендной платы на срок месяц и более (методика 2)"/>
    <hyperlink ref="R7" location="'Расчет на срок &gt; 1 мес (мет.3)'!A1" display="Расчет суммы арендной платы на срок месяц и более (методика 3)"/>
    <hyperlink ref="R8" location="'Бухгалтерская справка'!A1" display="Бухгалтерская справка о размере фактических затрат по управлению и эксплуатации"/>
    <hyperlink ref="R9" location="'Расчет на срок &lt;1 мес (мет.1)'!A1" display="Расчет суммы арендной платы на срок менее месяца (методика 1)"/>
    <hyperlink ref="R10" location="'Расчет на срок &lt;1 мес (мет.2)'!A1" display="Расчет суммы арендной платы на срок менее месяца (методика 2)"/>
    <hyperlink ref="R11" location="'Расчет на срок &lt;1 мес (мет.3)'!A1" display="Расчет суммы арендной платы на срок менее месяца (методика 3)"/>
    <hyperlink ref="R12" location="'Калькуляция 1 м-часа'!A1" display="Калькуляция стоимости 1 машино-часа управления спецмеханизмом (с топливом)"/>
    <hyperlink ref="R13" location="'Калькуляция 1 м-ч (без топлива)'!A1" display="Калькуляция стоимости 1 машино-часа управления спецмеханизмом (без топлива)"/>
    <hyperlink ref="R14" location="топливо!A1" display="Расчет затрат на топливо за 1 маш.-ч для спецтехники"/>
    <hyperlink ref="R15" location="'смазочные материалы'!A1" display="Расчет затрат на смазочные материалы за 1 маш.час для спецтехники"/>
    <hyperlink ref="R16" location="ЗП!A1" display="Расчет  затрат на заработную плату за 1 маш.-час для спецтехники"/>
    <hyperlink ref="R17" location="'расчет % ОПР'!A1" display="Расчет процента общепроизводственных расходов"/>
    <hyperlink ref="R18" location="'расчет % ОХР'!A1" display="Расчет процента общехозяйственных расходов"/>
  </hyperlinks>
  <printOptions/>
  <pageMargins left="0.7" right="0.7" top="0.75" bottom="0.75" header="0.3" footer="0.3"/>
  <pageSetup horizontalDpi="600" verticalDpi="600" orientation="portrait" paperSize="9" scale="76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6" min="1" max="21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V45"/>
  <sheetViews>
    <sheetView zoomScalePageLayoutView="0" workbookViewId="0" topLeftCell="A1">
      <selection activeCell="J1" sqref="J1:J16384"/>
    </sheetView>
  </sheetViews>
  <sheetFormatPr defaultColWidth="9.140625" defaultRowHeight="15"/>
  <cols>
    <col min="1" max="1" width="4.421875" style="3" customWidth="1"/>
    <col min="2" max="2" width="2.28125" style="1" customWidth="1"/>
    <col min="3" max="3" width="3.421875" style="1" customWidth="1"/>
    <col min="4" max="4" width="46.8515625" style="1" customWidth="1"/>
    <col min="5" max="5" width="11.7109375" style="1" customWidth="1"/>
    <col min="6" max="6" width="11.00390625" style="1" customWidth="1"/>
    <col min="7" max="7" width="10.421875" style="1" customWidth="1"/>
    <col min="8" max="9" width="2.140625" style="1" customWidth="1"/>
    <col min="10" max="10" width="73.28125" style="1" customWidth="1"/>
    <col min="11" max="16384" width="9.140625" style="1" customWidth="1"/>
  </cols>
  <sheetData>
    <row r="1" spans="1:2" ht="11.25" thickBot="1">
      <c r="A1" s="1"/>
      <c r="B1" s="2" t="s">
        <v>0</v>
      </c>
    </row>
    <row r="2" spans="2:8" ht="10.5">
      <c r="B2" s="4"/>
      <c r="C2" s="5"/>
      <c r="D2" s="5"/>
      <c r="E2" s="5"/>
      <c r="F2" s="5"/>
      <c r="G2" s="5"/>
      <c r="H2" s="6"/>
    </row>
    <row r="3" spans="2:8" ht="10.5">
      <c r="B3" s="7"/>
      <c r="C3" s="33"/>
      <c r="D3" s="33"/>
      <c r="E3" s="33"/>
      <c r="F3" s="33"/>
      <c r="G3" s="33"/>
      <c r="H3" s="8"/>
    </row>
    <row r="4" spans="2:10" ht="15">
      <c r="B4" s="7"/>
      <c r="C4" s="141" t="s">
        <v>27</v>
      </c>
      <c r="D4" s="141"/>
      <c r="E4" s="141"/>
      <c r="F4" s="141"/>
      <c r="G4" s="141"/>
      <c r="H4" s="8"/>
      <c r="J4" s="66" t="s">
        <v>227</v>
      </c>
    </row>
    <row r="5" spans="2:10" ht="15">
      <c r="B5" s="7"/>
      <c r="C5" s="174" t="s">
        <v>50</v>
      </c>
      <c r="D5" s="174"/>
      <c r="E5" s="174"/>
      <c r="F5" s="174"/>
      <c r="G5" s="174"/>
      <c r="H5" s="8"/>
      <c r="J5" s="66" t="s">
        <v>176</v>
      </c>
    </row>
    <row r="6" spans="2:10" ht="15">
      <c r="B6" s="7"/>
      <c r="C6" s="10"/>
      <c r="D6" s="10"/>
      <c r="E6" s="10"/>
      <c r="F6" s="10"/>
      <c r="G6" s="10" t="s">
        <v>75</v>
      </c>
      <c r="H6" s="8"/>
      <c r="J6" s="66" t="s">
        <v>177</v>
      </c>
    </row>
    <row r="7" spans="2:10" ht="27">
      <c r="B7" s="7"/>
      <c r="C7" s="42" t="s">
        <v>1</v>
      </c>
      <c r="D7" s="42" t="s">
        <v>51</v>
      </c>
      <c r="E7" s="42" t="s">
        <v>53</v>
      </c>
      <c r="F7" s="42" t="s">
        <v>91</v>
      </c>
      <c r="G7" s="42" t="s">
        <v>52</v>
      </c>
      <c r="H7" s="8"/>
      <c r="J7" s="66" t="s">
        <v>178</v>
      </c>
    </row>
    <row r="8" spans="2:10" ht="15">
      <c r="B8" s="7"/>
      <c r="C8" s="14">
        <v>1</v>
      </c>
      <c r="D8" s="52" t="s">
        <v>54</v>
      </c>
      <c r="E8" s="53">
        <v>300000</v>
      </c>
      <c r="F8" s="53">
        <v>325000</v>
      </c>
      <c r="G8" s="55">
        <f aca="true" t="shared" si="0" ref="G8:G28">F8/E8</f>
        <v>1.0833333333333333</v>
      </c>
      <c r="H8" s="8"/>
      <c r="J8" s="66" t="s">
        <v>182</v>
      </c>
    </row>
    <row r="9" spans="2:10" ht="15">
      <c r="B9" s="7"/>
      <c r="C9" s="14">
        <f>C8+1</f>
        <v>2</v>
      </c>
      <c r="D9" s="52" t="s">
        <v>55</v>
      </c>
      <c r="E9" s="53">
        <v>102000.00000000001</v>
      </c>
      <c r="F9" s="53">
        <v>110500.00000000001</v>
      </c>
      <c r="G9" s="55">
        <f t="shared" si="0"/>
        <v>1.0833333333333333</v>
      </c>
      <c r="H9" s="8"/>
      <c r="J9" s="66" t="s">
        <v>179</v>
      </c>
    </row>
    <row r="10" spans="2:10" ht="15">
      <c r="B10" s="7"/>
      <c r="C10" s="14">
        <f aca="true" t="shared" si="1" ref="C10:C29">C9+1</f>
        <v>3</v>
      </c>
      <c r="D10" s="52" t="s">
        <v>56</v>
      </c>
      <c r="E10" s="53">
        <v>1800</v>
      </c>
      <c r="F10" s="53">
        <v>1950</v>
      </c>
      <c r="G10" s="55">
        <f t="shared" si="0"/>
        <v>1.0833333333333333</v>
      </c>
      <c r="H10" s="8"/>
      <c r="J10" s="66" t="s">
        <v>180</v>
      </c>
    </row>
    <row r="11" spans="2:10" ht="15">
      <c r="B11" s="7"/>
      <c r="C11" s="14">
        <f t="shared" si="1"/>
        <v>4</v>
      </c>
      <c r="D11" s="52" t="s">
        <v>57</v>
      </c>
      <c r="E11" s="53">
        <v>140000</v>
      </c>
      <c r="F11" s="53">
        <v>185000</v>
      </c>
      <c r="G11" s="55">
        <f t="shared" si="0"/>
        <v>1.3214285714285714</v>
      </c>
      <c r="H11" s="8"/>
      <c r="J11" s="66" t="s">
        <v>181</v>
      </c>
    </row>
    <row r="12" spans="2:10" ht="15">
      <c r="B12" s="7"/>
      <c r="C12" s="14">
        <f t="shared" si="1"/>
        <v>5</v>
      </c>
      <c r="D12" s="52" t="s">
        <v>58</v>
      </c>
      <c r="E12" s="53">
        <v>125000</v>
      </c>
      <c r="F12" s="53">
        <v>124000</v>
      </c>
      <c r="G12" s="55">
        <f t="shared" si="0"/>
        <v>0.992</v>
      </c>
      <c r="H12" s="8"/>
      <c r="J12" s="66" t="s">
        <v>183</v>
      </c>
    </row>
    <row r="13" spans="2:10" ht="15">
      <c r="B13" s="7"/>
      <c r="C13" s="14">
        <f t="shared" si="1"/>
        <v>6</v>
      </c>
      <c r="D13" s="52" t="s">
        <v>59</v>
      </c>
      <c r="E13" s="53">
        <v>69000</v>
      </c>
      <c r="F13" s="53">
        <v>68500</v>
      </c>
      <c r="G13" s="55">
        <f t="shared" si="0"/>
        <v>0.9927536231884058</v>
      </c>
      <c r="H13" s="8"/>
      <c r="J13" s="66" t="s">
        <v>184</v>
      </c>
    </row>
    <row r="14" spans="2:10" ht="15">
      <c r="B14" s="7"/>
      <c r="C14" s="14">
        <f t="shared" si="1"/>
        <v>7</v>
      </c>
      <c r="D14" s="52" t="s">
        <v>60</v>
      </c>
      <c r="E14" s="53">
        <v>3500</v>
      </c>
      <c r="F14" s="53">
        <v>3420</v>
      </c>
      <c r="G14" s="55">
        <f t="shared" si="0"/>
        <v>0.9771428571428571</v>
      </c>
      <c r="H14" s="8"/>
      <c r="J14" s="66" t="s">
        <v>185</v>
      </c>
    </row>
    <row r="15" spans="2:10" ht="15">
      <c r="B15" s="7"/>
      <c r="C15" s="14">
        <f t="shared" si="1"/>
        <v>8</v>
      </c>
      <c r="D15" s="52" t="s">
        <v>61</v>
      </c>
      <c r="E15" s="53">
        <v>52000</v>
      </c>
      <c r="F15" s="53">
        <v>50000</v>
      </c>
      <c r="G15" s="55">
        <f t="shared" si="0"/>
        <v>0.9615384615384616</v>
      </c>
      <c r="H15" s="8"/>
      <c r="J15" s="66" t="s">
        <v>186</v>
      </c>
    </row>
    <row r="16" spans="2:10" ht="15">
      <c r="B16" s="7"/>
      <c r="C16" s="14">
        <f t="shared" si="1"/>
        <v>9</v>
      </c>
      <c r="D16" s="52" t="s">
        <v>62</v>
      </c>
      <c r="E16" s="53">
        <v>14000</v>
      </c>
      <c r="F16" s="53">
        <v>15100</v>
      </c>
      <c r="G16" s="55">
        <f t="shared" si="0"/>
        <v>1.0785714285714285</v>
      </c>
      <c r="H16" s="8"/>
      <c r="J16" s="66" t="s">
        <v>188</v>
      </c>
    </row>
    <row r="17" spans="2:10" ht="15">
      <c r="B17" s="7"/>
      <c r="C17" s="14">
        <f t="shared" si="1"/>
        <v>10</v>
      </c>
      <c r="D17" s="52" t="s">
        <v>63</v>
      </c>
      <c r="E17" s="53">
        <v>3800</v>
      </c>
      <c r="F17" s="53">
        <v>5400</v>
      </c>
      <c r="G17" s="55">
        <f t="shared" si="0"/>
        <v>1.4210526315789473</v>
      </c>
      <c r="H17" s="8"/>
      <c r="J17" s="66" t="s">
        <v>74</v>
      </c>
    </row>
    <row r="18" spans="2:10" ht="15">
      <c r="B18" s="7"/>
      <c r="C18" s="14">
        <f t="shared" si="1"/>
        <v>11</v>
      </c>
      <c r="D18" s="52" t="s">
        <v>64</v>
      </c>
      <c r="E18" s="53">
        <v>55000</v>
      </c>
      <c r="F18" s="53">
        <v>58000</v>
      </c>
      <c r="G18" s="55">
        <f t="shared" si="0"/>
        <v>1.0545454545454545</v>
      </c>
      <c r="H18" s="8"/>
      <c r="J18" s="66" t="s">
        <v>90</v>
      </c>
    </row>
    <row r="19" spans="2:8" ht="10.5">
      <c r="B19" s="7"/>
      <c r="C19" s="14">
        <f t="shared" si="1"/>
        <v>12</v>
      </c>
      <c r="D19" s="52" t="s">
        <v>65</v>
      </c>
      <c r="E19" s="53">
        <v>8700</v>
      </c>
      <c r="F19" s="53">
        <v>9500</v>
      </c>
      <c r="G19" s="55">
        <f t="shared" si="0"/>
        <v>1.0919540229885059</v>
      </c>
      <c r="H19" s="8"/>
    </row>
    <row r="20" spans="2:8" ht="10.5">
      <c r="B20" s="7"/>
      <c r="C20" s="14">
        <f t="shared" si="1"/>
        <v>13</v>
      </c>
      <c r="D20" s="52" t="s">
        <v>66</v>
      </c>
      <c r="E20" s="53">
        <v>12000</v>
      </c>
      <c r="F20" s="53">
        <v>14700</v>
      </c>
      <c r="G20" s="55">
        <f t="shared" si="0"/>
        <v>1.225</v>
      </c>
      <c r="H20" s="8"/>
    </row>
    <row r="21" spans="2:8" ht="10.5">
      <c r="B21" s="7"/>
      <c r="C21" s="14">
        <f t="shared" si="1"/>
        <v>14</v>
      </c>
      <c r="D21" s="52" t="s">
        <v>67</v>
      </c>
      <c r="E21" s="53">
        <v>10000</v>
      </c>
      <c r="F21" s="53">
        <v>11500</v>
      </c>
      <c r="G21" s="55">
        <f t="shared" si="0"/>
        <v>1.15</v>
      </c>
      <c r="H21" s="8"/>
    </row>
    <row r="22" spans="2:10" ht="15">
      <c r="B22" s="7"/>
      <c r="C22" s="14">
        <f t="shared" si="1"/>
        <v>15</v>
      </c>
      <c r="D22" s="52" t="s">
        <v>68</v>
      </c>
      <c r="E22" s="53">
        <v>32000</v>
      </c>
      <c r="F22" s="53">
        <v>33000</v>
      </c>
      <c r="G22" s="55">
        <f t="shared" si="0"/>
        <v>1.03125</v>
      </c>
      <c r="H22" s="8"/>
      <c r="J22" s="66"/>
    </row>
    <row r="23" spans="2:8" ht="10.5">
      <c r="B23" s="7"/>
      <c r="C23" s="14">
        <f t="shared" si="1"/>
        <v>16</v>
      </c>
      <c r="D23" s="52" t="s">
        <v>69</v>
      </c>
      <c r="E23" s="53">
        <v>1440</v>
      </c>
      <c r="F23" s="53">
        <v>1580</v>
      </c>
      <c r="G23" s="55">
        <f t="shared" si="0"/>
        <v>1.0972222222222223</v>
      </c>
      <c r="H23" s="8"/>
    </row>
    <row r="24" spans="2:8" ht="10.5">
      <c r="B24" s="7"/>
      <c r="C24" s="14">
        <f t="shared" si="1"/>
        <v>17</v>
      </c>
      <c r="D24" s="52" t="s">
        <v>70</v>
      </c>
      <c r="E24" s="53">
        <v>35000</v>
      </c>
      <c r="F24" s="53">
        <v>30000</v>
      </c>
      <c r="G24" s="55">
        <f t="shared" si="0"/>
        <v>0.8571428571428571</v>
      </c>
      <c r="H24" s="8"/>
    </row>
    <row r="25" spans="2:8" ht="10.5">
      <c r="B25" s="7"/>
      <c r="C25" s="14">
        <f t="shared" si="1"/>
        <v>18</v>
      </c>
      <c r="D25" s="52" t="s">
        <v>71</v>
      </c>
      <c r="E25" s="53">
        <v>5200</v>
      </c>
      <c r="F25" s="53">
        <v>5500</v>
      </c>
      <c r="G25" s="55">
        <f t="shared" si="0"/>
        <v>1.0576923076923077</v>
      </c>
      <c r="H25" s="8"/>
    </row>
    <row r="26" spans="2:8" ht="10.5">
      <c r="B26" s="7"/>
      <c r="C26" s="14">
        <f t="shared" si="1"/>
        <v>19</v>
      </c>
      <c r="D26" s="52" t="s">
        <v>72</v>
      </c>
      <c r="E26" s="53">
        <v>39000</v>
      </c>
      <c r="F26" s="53">
        <v>42000</v>
      </c>
      <c r="G26" s="55">
        <f t="shared" si="0"/>
        <v>1.0769230769230769</v>
      </c>
      <c r="H26" s="8"/>
    </row>
    <row r="27" spans="2:8" ht="10.5">
      <c r="B27" s="7"/>
      <c r="C27" s="14">
        <f t="shared" si="1"/>
        <v>20</v>
      </c>
      <c r="D27" s="52" t="s">
        <v>4</v>
      </c>
      <c r="E27" s="54">
        <f>SUM(E8:E26)</f>
        <v>1009440</v>
      </c>
      <c r="F27" s="54">
        <f>SUM(F8:F26)</f>
        <v>1094650</v>
      </c>
      <c r="G27" s="55">
        <f t="shared" si="0"/>
        <v>1.084413139958789</v>
      </c>
      <c r="H27" s="8"/>
    </row>
    <row r="28" spans="2:8" ht="10.5">
      <c r="B28" s="7"/>
      <c r="C28" s="14">
        <f t="shared" si="1"/>
        <v>21</v>
      </c>
      <c r="D28" s="52" t="s">
        <v>73</v>
      </c>
      <c r="E28" s="53">
        <v>1800000</v>
      </c>
      <c r="F28" s="53">
        <v>2000000</v>
      </c>
      <c r="G28" s="55">
        <f t="shared" si="0"/>
        <v>1.1111111111111112</v>
      </c>
      <c r="H28" s="8"/>
    </row>
    <row r="29" spans="2:8" ht="10.5">
      <c r="B29" s="7"/>
      <c r="C29" s="14">
        <f t="shared" si="1"/>
        <v>22</v>
      </c>
      <c r="D29" s="52" t="s">
        <v>74</v>
      </c>
      <c r="E29" s="55">
        <f>E27/E28</f>
        <v>0.5608</v>
      </c>
      <c r="F29" s="55">
        <f>F27/F28</f>
        <v>0.547325</v>
      </c>
      <c r="G29" s="55"/>
      <c r="H29" s="8"/>
    </row>
    <row r="30" spans="2:48" ht="11.25" thickBot="1">
      <c r="B30" s="24"/>
      <c r="C30" s="25"/>
      <c r="D30" s="25"/>
      <c r="E30" s="25"/>
      <c r="F30" s="25"/>
      <c r="G30" s="25"/>
      <c r="H30" s="26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12:48" ht="10.5">
      <c r="L31" s="2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9"/>
      <c r="AM31" s="28"/>
      <c r="AN31" s="28"/>
      <c r="AO31" s="28"/>
      <c r="AP31" s="28"/>
      <c r="AQ31" s="28"/>
      <c r="AR31" s="28"/>
      <c r="AS31" s="28"/>
      <c r="AT31" s="28"/>
      <c r="AU31" s="28"/>
      <c r="AV31" s="28"/>
    </row>
    <row r="32" spans="12:48" ht="10.5">
      <c r="L32" s="2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9"/>
      <c r="AH32" s="29"/>
      <c r="AI32" s="29"/>
      <c r="AJ32" s="29"/>
      <c r="AK32" s="29"/>
      <c r="AL32" s="29"/>
      <c r="AM32" s="28"/>
      <c r="AN32" s="28"/>
      <c r="AO32" s="28"/>
      <c r="AP32" s="28"/>
      <c r="AQ32" s="28"/>
      <c r="AR32" s="28"/>
      <c r="AS32" s="28"/>
      <c r="AT32" s="28"/>
      <c r="AU32" s="28"/>
      <c r="AV32" s="28"/>
    </row>
    <row r="33" spans="3:48" ht="10.5">
      <c r="C33" s="30"/>
      <c r="D33" s="30"/>
      <c r="L33" s="27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/>
      <c r="AH33" s="29"/>
      <c r="AI33" s="29"/>
      <c r="AJ33" s="29"/>
      <c r="AK33" s="29"/>
      <c r="AL33" s="29"/>
      <c r="AM33" s="28"/>
      <c r="AN33" s="28"/>
      <c r="AO33" s="28"/>
      <c r="AP33" s="28"/>
      <c r="AQ33" s="28"/>
      <c r="AR33" s="28"/>
      <c r="AS33" s="28"/>
      <c r="AT33" s="28"/>
      <c r="AU33" s="28"/>
      <c r="AV33" s="28"/>
    </row>
    <row r="34" spans="3:48" ht="10.5">
      <c r="C34" s="30"/>
      <c r="D34" s="30"/>
      <c r="L34" s="2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9"/>
      <c r="AH34" s="29"/>
      <c r="AI34" s="29"/>
      <c r="AJ34" s="29"/>
      <c r="AK34" s="29"/>
      <c r="AL34" s="29"/>
      <c r="AM34" s="28"/>
      <c r="AN34" s="28"/>
      <c r="AO34" s="28"/>
      <c r="AP34" s="28"/>
      <c r="AQ34" s="28"/>
      <c r="AR34" s="28"/>
      <c r="AS34" s="28"/>
      <c r="AT34" s="28"/>
      <c r="AU34" s="28"/>
      <c r="AV34" s="28"/>
    </row>
    <row r="35" spans="3:48" ht="10.5">
      <c r="C35" s="30"/>
      <c r="D35" s="30"/>
      <c r="J35" s="22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9"/>
      <c r="AH35" s="29"/>
      <c r="AI35" s="29"/>
      <c r="AJ35" s="29"/>
      <c r="AK35" s="29"/>
      <c r="AL35" s="29"/>
      <c r="AM35" s="28"/>
      <c r="AN35" s="28"/>
      <c r="AO35" s="28"/>
      <c r="AP35" s="28"/>
      <c r="AQ35" s="28"/>
      <c r="AR35" s="28"/>
      <c r="AS35" s="28"/>
      <c r="AT35" s="28"/>
      <c r="AU35" s="28"/>
      <c r="AV35" s="28"/>
    </row>
    <row r="36" spans="3:48" ht="10.5">
      <c r="C36" s="30"/>
      <c r="D36" s="30"/>
      <c r="L36" s="2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  <c r="AH36" s="29"/>
      <c r="AI36" s="29"/>
      <c r="AJ36" s="29"/>
      <c r="AK36" s="29"/>
      <c r="AL36" s="29"/>
      <c r="AM36" s="28"/>
      <c r="AN36" s="28"/>
      <c r="AO36" s="28"/>
      <c r="AP36" s="28"/>
      <c r="AQ36" s="28"/>
      <c r="AR36" s="28"/>
      <c r="AS36" s="28"/>
      <c r="AT36" s="28"/>
      <c r="AU36" s="28"/>
      <c r="AV36" s="28"/>
    </row>
    <row r="37" spans="3:48" ht="10.5">
      <c r="C37" s="30"/>
      <c r="D37" s="30"/>
      <c r="L37" s="27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9"/>
      <c r="AH37" s="29"/>
      <c r="AI37" s="29"/>
      <c r="AJ37" s="29"/>
      <c r="AK37" s="29"/>
      <c r="AL37" s="29"/>
      <c r="AM37" s="28"/>
      <c r="AN37" s="28"/>
      <c r="AO37" s="28"/>
      <c r="AP37" s="28"/>
      <c r="AQ37" s="28"/>
      <c r="AR37" s="28"/>
      <c r="AS37" s="28"/>
      <c r="AT37" s="28"/>
      <c r="AU37" s="28"/>
      <c r="AV37" s="28"/>
    </row>
    <row r="38" spans="3:48" ht="10.5">
      <c r="C38" s="30"/>
      <c r="D38" s="30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9"/>
      <c r="AH38" s="29"/>
      <c r="AI38" s="29"/>
      <c r="AJ38" s="29"/>
      <c r="AK38" s="29"/>
      <c r="AL38" s="29"/>
      <c r="AM38" s="28"/>
      <c r="AN38" s="28"/>
      <c r="AO38" s="28"/>
      <c r="AP38" s="28"/>
      <c r="AQ38" s="28"/>
      <c r="AR38" s="28"/>
      <c r="AS38" s="28"/>
      <c r="AT38" s="28"/>
      <c r="AU38" s="28"/>
      <c r="AV38" s="28"/>
    </row>
    <row r="39" spans="3:48" ht="10.5">
      <c r="C39" s="30"/>
      <c r="D39" s="30"/>
      <c r="L39" s="27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</row>
    <row r="40" spans="3:48" ht="10.5">
      <c r="C40" s="30"/>
      <c r="D40" s="30"/>
      <c r="L40" s="27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  <row r="41" spans="3:48" ht="10.5">
      <c r="C41" s="30"/>
      <c r="D41" s="30"/>
      <c r="L41" s="27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</row>
    <row r="42" spans="3:48" ht="10.5">
      <c r="C42" s="30"/>
      <c r="D42" s="30"/>
      <c r="L42" s="27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</row>
    <row r="43" spans="3:48" ht="10.5">
      <c r="C43" s="30"/>
      <c r="D43" s="30"/>
      <c r="L43" s="27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</row>
    <row r="44" spans="3:48" ht="10.5">
      <c r="C44" s="30"/>
      <c r="D44" s="30"/>
      <c r="L44" s="27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</row>
    <row r="45" spans="3:4" ht="10.5">
      <c r="C45" s="30"/>
      <c r="D45" s="30"/>
    </row>
  </sheetData>
  <sheetProtection/>
  <mergeCells count="2">
    <mergeCell ref="C4:G4"/>
    <mergeCell ref="C5:G5"/>
  </mergeCells>
  <hyperlinks>
    <hyperlink ref="J4" location="Положение!A1" display="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 (Указ от 23.10.2009 № 518)"/>
    <hyperlink ref="J5" location="'Расчет на срок &gt; 1 мес (мет.1)'!A1" display="Расчет суммы арендной платы на срок месяц и более (методика 1)"/>
    <hyperlink ref="J6" location="'Расчет на срок &gt; 1 мес (мет.2)'!A1" display="Расчет суммы арендной платы на срок месяц и более (методика 2)"/>
    <hyperlink ref="J7" location="'Расчет на срок &gt; 1 мес (мет.3)'!A1" display="Расчет суммы арендной платы на срок месяц и более (методика 3)"/>
    <hyperlink ref="J8" location="'Бухгалтерская справка'!A1" display="Бухгалтерская справка о размере фактических затрат по управлению и эксплуатации"/>
    <hyperlink ref="J9" location="'Расчет на срок &lt;1 мес (мет.1)'!A1" display="Расчет суммы арендной платы на срок менее месяца (методика 1)"/>
    <hyperlink ref="J10" location="'Расчет на срок &lt;1 мес (мет.2)'!A1" display="Расчет суммы арендной платы на срок менее месяца (методика 2)"/>
    <hyperlink ref="J11" location="'Расчет на срок &lt;1 мес (мет.3)'!A1" display="Расчет суммы арендной платы на срок менее месяца (методика 3)"/>
    <hyperlink ref="J12" location="'Калькуляция 1 м-часа'!A1" display="Калькуляция стоимости 1 машино-часа управления спецмеханизмом (с топливом)"/>
    <hyperlink ref="J13" location="'Калькуляция 1 м-ч (без топлива)'!A1" display="Калькуляция стоимости 1 машино-часа управления спецмеханизмом (без топлива)"/>
    <hyperlink ref="J14" location="топливо!A1" display="Расчет затрат на топливо за 1 маш.-ч для спецтехники"/>
    <hyperlink ref="J15" location="'смазочные материалы'!A1" display="Расчет затрат на смазочные материалы за 1 маш.час для спецтехники"/>
    <hyperlink ref="J16" location="ЗП!A1" display="Расчет  затрат на заработную плату за 1 маш.-час для спецтехники"/>
    <hyperlink ref="J17" location="'расчет % ОПР'!A1" display="Расчет процента общепроизводственных расходов"/>
    <hyperlink ref="J18" location="'расчет % ОХР'!A1" display="Расчет процента общехозяйственных расходов"/>
  </hyperlinks>
  <printOptions/>
  <pageMargins left="0.7" right="0.7" top="0.75" bottom="0.75" header="0.3" footer="0.3"/>
  <pageSetup horizontalDpi="300" verticalDpi="300" orientation="portrait" paperSize="9" scale="9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V49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3.28125" style="3" customWidth="1"/>
    <col min="2" max="2" width="2.28125" style="1" customWidth="1"/>
    <col min="3" max="3" width="3.421875" style="1" customWidth="1"/>
    <col min="4" max="4" width="46.8515625" style="1" customWidth="1"/>
    <col min="5" max="5" width="11.7109375" style="1" customWidth="1"/>
    <col min="6" max="6" width="11.00390625" style="1" customWidth="1"/>
    <col min="7" max="7" width="10.421875" style="1" customWidth="1"/>
    <col min="8" max="8" width="2.140625" style="1" customWidth="1"/>
    <col min="9" max="9" width="2.421875" style="1" customWidth="1"/>
    <col min="10" max="10" width="73.28125" style="1" customWidth="1"/>
    <col min="11" max="16384" width="9.140625" style="1" customWidth="1"/>
  </cols>
  <sheetData>
    <row r="1" spans="1:2" ht="11.25" thickBot="1">
      <c r="A1" s="1"/>
      <c r="B1" s="2" t="s">
        <v>0</v>
      </c>
    </row>
    <row r="2" spans="2:8" ht="10.5">
      <c r="B2" s="4"/>
      <c r="C2" s="5"/>
      <c r="D2" s="5"/>
      <c r="E2" s="5"/>
      <c r="F2" s="5"/>
      <c r="G2" s="5"/>
      <c r="H2" s="6"/>
    </row>
    <row r="3" spans="2:8" ht="10.5">
      <c r="B3" s="7"/>
      <c r="C3" s="33"/>
      <c r="D3" s="33"/>
      <c r="E3" s="33"/>
      <c r="F3" s="33"/>
      <c r="G3" s="33"/>
      <c r="H3" s="8"/>
    </row>
    <row r="4" spans="2:10" ht="15">
      <c r="B4" s="7"/>
      <c r="C4" s="141" t="s">
        <v>27</v>
      </c>
      <c r="D4" s="141"/>
      <c r="E4" s="141"/>
      <c r="F4" s="141"/>
      <c r="G4" s="141"/>
      <c r="H4" s="8"/>
      <c r="J4" s="66" t="s">
        <v>227</v>
      </c>
    </row>
    <row r="5" spans="2:10" ht="15">
      <c r="B5" s="7"/>
      <c r="C5" s="174" t="s">
        <v>92</v>
      </c>
      <c r="D5" s="174"/>
      <c r="E5" s="174"/>
      <c r="F5" s="174"/>
      <c r="G5" s="174"/>
      <c r="H5" s="8"/>
      <c r="J5" s="66" t="s">
        <v>176</v>
      </c>
    </row>
    <row r="6" spans="2:10" ht="15">
      <c r="B6" s="7"/>
      <c r="C6" s="10"/>
      <c r="D6" s="10"/>
      <c r="E6" s="10"/>
      <c r="F6" s="10"/>
      <c r="G6" s="115" t="str">
        <f>'расчет % ОПР'!G6</f>
        <v>тыс. руб</v>
      </c>
      <c r="H6" s="8"/>
      <c r="J6" s="66" t="s">
        <v>177</v>
      </c>
    </row>
    <row r="7" spans="2:10" ht="27">
      <c r="B7" s="7"/>
      <c r="C7" s="42" t="s">
        <v>1</v>
      </c>
      <c r="D7" s="42" t="s">
        <v>51</v>
      </c>
      <c r="E7" s="57" t="str">
        <f>'расчет % ОПР'!E7</f>
        <v>Факт за предыдущий период</v>
      </c>
      <c r="F7" s="57" t="str">
        <f>'расчет % ОПР'!F7</f>
        <v>План на расчетный период</v>
      </c>
      <c r="G7" s="42" t="s">
        <v>52</v>
      </c>
      <c r="H7" s="8"/>
      <c r="J7" s="66" t="s">
        <v>178</v>
      </c>
    </row>
    <row r="8" spans="2:10" ht="15">
      <c r="B8" s="7"/>
      <c r="C8" s="14">
        <v>1</v>
      </c>
      <c r="D8" s="52" t="s">
        <v>76</v>
      </c>
      <c r="E8" s="53">
        <v>500000</v>
      </c>
      <c r="F8" s="53">
        <v>590000</v>
      </c>
      <c r="G8" s="55">
        <f>ROUND(F8/E8,5)</f>
        <v>1.18</v>
      </c>
      <c r="H8" s="8"/>
      <c r="J8" s="66" t="s">
        <v>182</v>
      </c>
    </row>
    <row r="9" spans="2:10" ht="15">
      <c r="B9" s="7"/>
      <c r="C9" s="14">
        <f>C8+1</f>
        <v>2</v>
      </c>
      <c r="D9" s="52" t="s">
        <v>96</v>
      </c>
      <c r="E9" s="62">
        <v>170000</v>
      </c>
      <c r="F9" s="62">
        <v>200600</v>
      </c>
      <c r="G9" s="55">
        <f aca="true" t="shared" si="0" ref="G9:G32">ROUND(F9/E9,5)</f>
        <v>1.18</v>
      </c>
      <c r="H9" s="8"/>
      <c r="J9" s="66" t="s">
        <v>179</v>
      </c>
    </row>
    <row r="10" spans="2:10" ht="15">
      <c r="B10" s="7"/>
      <c r="C10" s="14">
        <f aca="true" t="shared" si="1" ref="C10:C33">C9+1</f>
        <v>3</v>
      </c>
      <c r="D10" s="52" t="s">
        <v>56</v>
      </c>
      <c r="E10" s="62">
        <v>3000</v>
      </c>
      <c r="F10" s="62">
        <v>3540</v>
      </c>
      <c r="G10" s="55">
        <f t="shared" si="0"/>
        <v>1.18</v>
      </c>
      <c r="H10" s="8"/>
      <c r="J10" s="66" t="s">
        <v>180</v>
      </c>
    </row>
    <row r="11" spans="2:10" ht="15">
      <c r="B11" s="7"/>
      <c r="C11" s="14">
        <f t="shared" si="1"/>
        <v>4</v>
      </c>
      <c r="D11" s="52" t="s">
        <v>77</v>
      </c>
      <c r="E11" s="53">
        <v>2000</v>
      </c>
      <c r="F11" s="53">
        <v>2200</v>
      </c>
      <c r="G11" s="55">
        <f t="shared" si="0"/>
        <v>1.1</v>
      </c>
      <c r="H11" s="8"/>
      <c r="J11" s="66" t="s">
        <v>181</v>
      </c>
    </row>
    <row r="12" spans="2:10" ht="15">
      <c r="B12" s="7"/>
      <c r="C12" s="14">
        <f t="shared" si="1"/>
        <v>5</v>
      </c>
      <c r="D12" s="52" t="s">
        <v>78</v>
      </c>
      <c r="E12" s="53">
        <v>35000</v>
      </c>
      <c r="F12" s="53">
        <v>38000</v>
      </c>
      <c r="G12" s="55">
        <f t="shared" si="0"/>
        <v>1.08571</v>
      </c>
      <c r="H12" s="8"/>
      <c r="J12" s="66" t="s">
        <v>183</v>
      </c>
    </row>
    <row r="13" spans="2:10" ht="15">
      <c r="B13" s="7"/>
      <c r="C13" s="14">
        <f t="shared" si="1"/>
        <v>6</v>
      </c>
      <c r="D13" s="52" t="s">
        <v>79</v>
      </c>
      <c r="E13" s="53">
        <v>6900</v>
      </c>
      <c r="F13" s="53">
        <v>7500</v>
      </c>
      <c r="G13" s="55">
        <f t="shared" si="0"/>
        <v>1.08696</v>
      </c>
      <c r="H13" s="8"/>
      <c r="J13" s="66" t="s">
        <v>184</v>
      </c>
    </row>
    <row r="14" spans="2:10" ht="15">
      <c r="B14" s="7"/>
      <c r="C14" s="14">
        <f t="shared" si="1"/>
        <v>7</v>
      </c>
      <c r="D14" s="52" t="s">
        <v>60</v>
      </c>
      <c r="E14" s="53">
        <v>1200</v>
      </c>
      <c r="F14" s="53">
        <v>1250</v>
      </c>
      <c r="G14" s="55">
        <f t="shared" si="0"/>
        <v>1.04167</v>
      </c>
      <c r="H14" s="8"/>
      <c r="J14" s="66" t="s">
        <v>185</v>
      </c>
    </row>
    <row r="15" spans="2:10" ht="15">
      <c r="B15" s="7"/>
      <c r="C15" s="14">
        <f t="shared" si="1"/>
        <v>8</v>
      </c>
      <c r="D15" s="52" t="s">
        <v>80</v>
      </c>
      <c r="E15" s="53">
        <v>2400</v>
      </c>
      <c r="F15" s="53">
        <v>2580</v>
      </c>
      <c r="G15" s="55">
        <f t="shared" si="0"/>
        <v>1.075</v>
      </c>
      <c r="H15" s="8"/>
      <c r="J15" s="66" t="s">
        <v>186</v>
      </c>
    </row>
    <row r="16" spans="2:10" ht="15">
      <c r="B16" s="7"/>
      <c r="C16" s="14">
        <f t="shared" si="1"/>
        <v>9</v>
      </c>
      <c r="D16" s="52" t="s">
        <v>81</v>
      </c>
      <c r="E16" s="53">
        <v>900</v>
      </c>
      <c r="F16" s="53">
        <v>940</v>
      </c>
      <c r="G16" s="55">
        <f t="shared" si="0"/>
        <v>1.04444</v>
      </c>
      <c r="H16" s="8"/>
      <c r="J16" s="66" t="s">
        <v>188</v>
      </c>
    </row>
    <row r="17" spans="2:10" ht="15">
      <c r="B17" s="7"/>
      <c r="C17" s="14">
        <f t="shared" si="1"/>
        <v>10</v>
      </c>
      <c r="D17" s="52" t="s">
        <v>82</v>
      </c>
      <c r="E17" s="53">
        <v>2500</v>
      </c>
      <c r="F17" s="53">
        <v>2520</v>
      </c>
      <c r="G17" s="55">
        <f t="shared" si="0"/>
        <v>1.008</v>
      </c>
      <c r="H17" s="8"/>
      <c r="J17" s="66" t="s">
        <v>74</v>
      </c>
    </row>
    <row r="18" spans="2:10" ht="15">
      <c r="B18" s="7"/>
      <c r="C18" s="14">
        <f t="shared" si="1"/>
        <v>11</v>
      </c>
      <c r="D18" s="52" t="s">
        <v>63</v>
      </c>
      <c r="E18" s="53">
        <v>3500</v>
      </c>
      <c r="F18" s="53">
        <v>7800</v>
      </c>
      <c r="G18" s="55">
        <f t="shared" si="0"/>
        <v>2.22857</v>
      </c>
      <c r="H18" s="8"/>
      <c r="J18" s="66" t="s">
        <v>90</v>
      </c>
    </row>
    <row r="19" spans="2:8" ht="10.5">
      <c r="B19" s="7"/>
      <c r="C19" s="14">
        <f t="shared" si="1"/>
        <v>12</v>
      </c>
      <c r="D19" s="52" t="s">
        <v>83</v>
      </c>
      <c r="E19" s="53">
        <v>12000</v>
      </c>
      <c r="F19" s="53">
        <v>13000</v>
      </c>
      <c r="G19" s="55">
        <f t="shared" si="0"/>
        <v>1.08333</v>
      </c>
      <c r="H19" s="8"/>
    </row>
    <row r="20" spans="2:8" ht="10.5">
      <c r="B20" s="7"/>
      <c r="C20" s="14">
        <f t="shared" si="1"/>
        <v>13</v>
      </c>
      <c r="D20" s="52" t="s">
        <v>84</v>
      </c>
      <c r="E20" s="53">
        <v>289</v>
      </c>
      <c r="F20" s="53">
        <v>295</v>
      </c>
      <c r="G20" s="55">
        <f t="shared" si="0"/>
        <v>1.02076</v>
      </c>
      <c r="H20" s="8"/>
    </row>
    <row r="21" spans="2:8" ht="10.5">
      <c r="B21" s="7"/>
      <c r="C21" s="14">
        <f t="shared" si="1"/>
        <v>14</v>
      </c>
      <c r="D21" s="52" t="s">
        <v>85</v>
      </c>
      <c r="E21" s="53">
        <v>2520</v>
      </c>
      <c r="F21" s="53">
        <v>2680</v>
      </c>
      <c r="G21" s="55">
        <f t="shared" si="0"/>
        <v>1.06349</v>
      </c>
      <c r="H21" s="8"/>
    </row>
    <row r="22" spans="2:10" ht="15">
      <c r="B22" s="7"/>
      <c r="C22" s="14">
        <f t="shared" si="1"/>
        <v>15</v>
      </c>
      <c r="D22" s="52" t="s">
        <v>66</v>
      </c>
      <c r="E22" s="53">
        <v>450</v>
      </c>
      <c r="F22" s="53">
        <v>490</v>
      </c>
      <c r="G22" s="55">
        <f t="shared" si="0"/>
        <v>1.08889</v>
      </c>
      <c r="H22" s="8"/>
      <c r="J22" s="66"/>
    </row>
    <row r="23" spans="2:8" ht="10.5">
      <c r="B23" s="7"/>
      <c r="C23" s="14">
        <f t="shared" si="1"/>
        <v>16</v>
      </c>
      <c r="D23" s="52" t="s">
        <v>86</v>
      </c>
      <c r="E23" s="53">
        <v>13400</v>
      </c>
      <c r="F23" s="53">
        <v>14200</v>
      </c>
      <c r="G23" s="55">
        <f t="shared" si="0"/>
        <v>1.0597</v>
      </c>
      <c r="H23" s="8"/>
    </row>
    <row r="24" spans="2:8" ht="10.5">
      <c r="B24" s="7"/>
      <c r="C24" s="14">
        <f t="shared" si="1"/>
        <v>17</v>
      </c>
      <c r="D24" s="52" t="s">
        <v>62</v>
      </c>
      <c r="E24" s="53">
        <v>5600</v>
      </c>
      <c r="F24" s="53">
        <v>5800</v>
      </c>
      <c r="G24" s="55">
        <f t="shared" si="0"/>
        <v>1.03571</v>
      </c>
      <c r="H24" s="8"/>
    </row>
    <row r="25" spans="2:8" ht="10.5">
      <c r="B25" s="7"/>
      <c r="C25" s="14">
        <f t="shared" si="1"/>
        <v>18</v>
      </c>
      <c r="D25" s="52" t="s">
        <v>87</v>
      </c>
      <c r="E25" s="53">
        <v>5000</v>
      </c>
      <c r="F25" s="53">
        <v>5100</v>
      </c>
      <c r="G25" s="55">
        <f t="shared" si="0"/>
        <v>1.02</v>
      </c>
      <c r="H25" s="8"/>
    </row>
    <row r="26" spans="2:8" ht="10.5">
      <c r="B26" s="7"/>
      <c r="C26" s="14">
        <f t="shared" si="1"/>
        <v>19</v>
      </c>
      <c r="D26" s="52" t="s">
        <v>88</v>
      </c>
      <c r="E26" s="53">
        <v>2000</v>
      </c>
      <c r="F26" s="53">
        <v>2200</v>
      </c>
      <c r="G26" s="55">
        <f t="shared" si="0"/>
        <v>1.1</v>
      </c>
      <c r="H26" s="8"/>
    </row>
    <row r="27" spans="2:8" ht="10.5">
      <c r="B27" s="7"/>
      <c r="C27" s="14">
        <f t="shared" si="1"/>
        <v>20</v>
      </c>
      <c r="D27" s="52" t="s">
        <v>89</v>
      </c>
      <c r="E27" s="53">
        <v>21000</v>
      </c>
      <c r="F27" s="53">
        <v>25000</v>
      </c>
      <c r="G27" s="55">
        <f t="shared" si="0"/>
        <v>1.19048</v>
      </c>
      <c r="H27" s="8"/>
    </row>
    <row r="28" spans="2:8" ht="10.5">
      <c r="B28" s="7"/>
      <c r="C28" s="14">
        <f t="shared" si="1"/>
        <v>21</v>
      </c>
      <c r="D28" s="52" t="s">
        <v>68</v>
      </c>
      <c r="E28" s="53">
        <v>45000</v>
      </c>
      <c r="F28" s="53">
        <v>48000</v>
      </c>
      <c r="G28" s="55">
        <f t="shared" si="0"/>
        <v>1.06667</v>
      </c>
      <c r="H28" s="8"/>
    </row>
    <row r="29" spans="2:8" ht="10.5">
      <c r="B29" s="7"/>
      <c r="C29" s="14">
        <f t="shared" si="1"/>
        <v>22</v>
      </c>
      <c r="D29" s="52" t="s">
        <v>69</v>
      </c>
      <c r="E29" s="53">
        <v>1440</v>
      </c>
      <c r="F29" s="53">
        <v>1580</v>
      </c>
      <c r="G29" s="55">
        <f t="shared" si="0"/>
        <v>1.09722</v>
      </c>
      <c r="H29" s="8"/>
    </row>
    <row r="30" spans="2:8" ht="10.5">
      <c r="B30" s="7"/>
      <c r="C30" s="14">
        <f t="shared" si="1"/>
        <v>23</v>
      </c>
      <c r="D30" s="52" t="s">
        <v>72</v>
      </c>
      <c r="E30" s="53">
        <v>48000</v>
      </c>
      <c r="F30" s="53">
        <v>52000</v>
      </c>
      <c r="G30" s="55">
        <f t="shared" si="0"/>
        <v>1.08333</v>
      </c>
      <c r="H30" s="8"/>
    </row>
    <row r="31" spans="2:8" ht="10.5">
      <c r="B31" s="7"/>
      <c r="C31" s="14">
        <f t="shared" si="1"/>
        <v>24</v>
      </c>
      <c r="D31" s="52" t="s">
        <v>4</v>
      </c>
      <c r="E31" s="54">
        <f>SUM(E3:E30)</f>
        <v>884099</v>
      </c>
      <c r="F31" s="54">
        <f>SUM(F3:F30)</f>
        <v>1027275</v>
      </c>
      <c r="G31" s="55">
        <f t="shared" si="0"/>
        <v>1.16195</v>
      </c>
      <c r="H31" s="8"/>
    </row>
    <row r="32" spans="2:8" ht="10.5">
      <c r="B32" s="7"/>
      <c r="C32" s="14">
        <f t="shared" si="1"/>
        <v>25</v>
      </c>
      <c r="D32" s="52" t="s">
        <v>73</v>
      </c>
      <c r="E32" s="54">
        <f>'расчет % ОПР'!E28</f>
        <v>1800000</v>
      </c>
      <c r="F32" s="54">
        <f>'расчет % ОПР'!F28</f>
        <v>2000000</v>
      </c>
      <c r="G32" s="55">
        <f t="shared" si="0"/>
        <v>1.11111</v>
      </c>
      <c r="H32" s="8"/>
    </row>
    <row r="33" spans="2:8" ht="10.5">
      <c r="B33" s="7"/>
      <c r="C33" s="14">
        <f t="shared" si="1"/>
        <v>26</v>
      </c>
      <c r="D33" s="52" t="s">
        <v>90</v>
      </c>
      <c r="E33" s="56">
        <f>ROUND(E31/E32,5)</f>
        <v>0.49117</v>
      </c>
      <c r="F33" s="56">
        <f>ROUND(F31/F32,5)</f>
        <v>0.51364</v>
      </c>
      <c r="G33" s="50"/>
      <c r="H33" s="8"/>
    </row>
    <row r="34" spans="2:48" ht="11.25" thickBot="1">
      <c r="B34" s="24"/>
      <c r="C34" s="25"/>
      <c r="D34" s="25"/>
      <c r="E34" s="25"/>
      <c r="F34" s="25"/>
      <c r="G34" s="25"/>
      <c r="H34" s="26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</row>
    <row r="35" spans="5:48" ht="10.5">
      <c r="E35" s="114"/>
      <c r="J35" s="22"/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9"/>
      <c r="AM35" s="28"/>
      <c r="AN35" s="28"/>
      <c r="AO35" s="28"/>
      <c r="AP35" s="28"/>
      <c r="AQ35" s="28"/>
      <c r="AR35" s="28"/>
      <c r="AS35" s="28"/>
      <c r="AT35" s="28"/>
      <c r="AU35" s="28"/>
      <c r="AV35" s="28"/>
    </row>
    <row r="36" spans="12:48" ht="10.5">
      <c r="L36" s="2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  <c r="AH36" s="29"/>
      <c r="AI36" s="29"/>
      <c r="AJ36" s="29"/>
      <c r="AK36" s="29"/>
      <c r="AL36" s="29"/>
      <c r="AM36" s="28"/>
      <c r="AN36" s="28"/>
      <c r="AO36" s="28"/>
      <c r="AP36" s="28"/>
      <c r="AQ36" s="28"/>
      <c r="AR36" s="28"/>
      <c r="AS36" s="28"/>
      <c r="AT36" s="28"/>
      <c r="AU36" s="28"/>
      <c r="AV36" s="28"/>
    </row>
    <row r="37" spans="3:48" ht="10.5">
      <c r="C37" s="30"/>
      <c r="D37" s="30"/>
      <c r="L37" s="27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9"/>
      <c r="AH37" s="29"/>
      <c r="AI37" s="29"/>
      <c r="AJ37" s="29"/>
      <c r="AK37" s="29"/>
      <c r="AL37" s="29"/>
      <c r="AM37" s="28"/>
      <c r="AN37" s="28"/>
      <c r="AO37" s="28"/>
      <c r="AP37" s="28"/>
      <c r="AQ37" s="28"/>
      <c r="AR37" s="28"/>
      <c r="AS37" s="28"/>
      <c r="AT37" s="28"/>
      <c r="AU37" s="28"/>
      <c r="AV37" s="28"/>
    </row>
    <row r="38" spans="3:48" ht="10.5">
      <c r="C38" s="30"/>
      <c r="D38" s="30"/>
      <c r="L38" s="2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9"/>
      <c r="AH38" s="29"/>
      <c r="AI38" s="29"/>
      <c r="AJ38" s="29"/>
      <c r="AK38" s="29"/>
      <c r="AL38" s="29"/>
      <c r="AM38" s="28"/>
      <c r="AN38" s="28"/>
      <c r="AO38" s="28"/>
      <c r="AP38" s="28"/>
      <c r="AQ38" s="28"/>
      <c r="AR38" s="28"/>
      <c r="AS38" s="28"/>
      <c r="AT38" s="28"/>
      <c r="AU38" s="28"/>
      <c r="AV38" s="28"/>
    </row>
    <row r="39" spans="3:48" ht="10.5">
      <c r="C39" s="30"/>
      <c r="D39" s="58"/>
      <c r="L39" s="27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29"/>
      <c r="AI39" s="29"/>
      <c r="AJ39" s="29"/>
      <c r="AK39" s="29"/>
      <c r="AL39" s="29"/>
      <c r="AM39" s="28"/>
      <c r="AN39" s="28"/>
      <c r="AO39" s="28"/>
      <c r="AP39" s="28"/>
      <c r="AQ39" s="28"/>
      <c r="AR39" s="28"/>
      <c r="AS39" s="28"/>
      <c r="AT39" s="28"/>
      <c r="AU39" s="28"/>
      <c r="AV39" s="28"/>
    </row>
    <row r="40" spans="3:48" ht="10.5">
      <c r="C40" s="30"/>
      <c r="D40" s="30"/>
      <c r="L40" s="27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9"/>
      <c r="AH40" s="29"/>
      <c r="AI40" s="29"/>
      <c r="AJ40" s="29"/>
      <c r="AK40" s="29"/>
      <c r="AL40" s="29"/>
      <c r="AM40" s="28"/>
      <c r="AN40" s="28"/>
      <c r="AO40" s="28"/>
      <c r="AP40" s="28"/>
      <c r="AQ40" s="28"/>
      <c r="AR40" s="28"/>
      <c r="AS40" s="28"/>
      <c r="AT40" s="28"/>
      <c r="AU40" s="28"/>
      <c r="AV40" s="28"/>
    </row>
    <row r="41" spans="3:48" ht="10.5">
      <c r="C41" s="30"/>
      <c r="D41" s="30"/>
      <c r="L41" s="27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9"/>
      <c r="AH41" s="29"/>
      <c r="AI41" s="29"/>
      <c r="AJ41" s="29"/>
      <c r="AK41" s="29"/>
      <c r="AL41" s="29"/>
      <c r="AM41" s="28"/>
      <c r="AN41" s="28"/>
      <c r="AO41" s="28"/>
      <c r="AP41" s="28"/>
      <c r="AQ41" s="28"/>
      <c r="AR41" s="28"/>
      <c r="AS41" s="28"/>
      <c r="AT41" s="28"/>
      <c r="AU41" s="28"/>
      <c r="AV41" s="28"/>
    </row>
    <row r="42" spans="3:48" ht="10.5">
      <c r="C42" s="30"/>
      <c r="D42" s="30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9"/>
      <c r="AH42" s="29"/>
      <c r="AI42" s="29"/>
      <c r="AJ42" s="29"/>
      <c r="AK42" s="29"/>
      <c r="AL42" s="29"/>
      <c r="AM42" s="28"/>
      <c r="AN42" s="28"/>
      <c r="AO42" s="28"/>
      <c r="AP42" s="28"/>
      <c r="AQ42" s="28"/>
      <c r="AR42" s="28"/>
      <c r="AS42" s="28"/>
      <c r="AT42" s="28"/>
      <c r="AU42" s="28"/>
      <c r="AV42" s="28"/>
    </row>
    <row r="43" spans="3:48" ht="10.5">
      <c r="C43" s="30"/>
      <c r="D43" s="30"/>
      <c r="L43" s="27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  <row r="44" spans="3:48" ht="10.5">
      <c r="C44" s="30"/>
      <c r="D44" s="30"/>
      <c r="L44" s="27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</row>
    <row r="45" spans="3:48" ht="10.5">
      <c r="C45" s="30"/>
      <c r="D45" s="30"/>
      <c r="L45" s="27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</row>
    <row r="46" spans="3:48" ht="10.5">
      <c r="C46" s="30"/>
      <c r="D46" s="30"/>
      <c r="L46" s="27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</row>
    <row r="47" spans="3:48" ht="10.5">
      <c r="C47" s="30"/>
      <c r="D47" s="30"/>
      <c r="L47" s="27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</row>
    <row r="48" spans="3:48" ht="10.5">
      <c r="C48" s="30"/>
      <c r="D48" s="30"/>
      <c r="L48" s="27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</row>
    <row r="49" spans="3:4" ht="10.5">
      <c r="C49" s="30"/>
      <c r="D49" s="30"/>
    </row>
  </sheetData>
  <sheetProtection/>
  <mergeCells count="2">
    <mergeCell ref="C4:G4"/>
    <mergeCell ref="C5:G5"/>
  </mergeCells>
  <hyperlinks>
    <hyperlink ref="J4" location="Положение!A1" display="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 (Указ от 23.10.2009 № 518)"/>
    <hyperlink ref="J5" location="'Расчет на срок &gt; 1 мес (мет.1)'!A1" display="Расчет суммы арендной платы на срок месяц и более (методика 1)"/>
    <hyperlink ref="J6" location="'Расчет на срок &gt; 1 мес (мет.2)'!A1" display="Расчет суммы арендной платы на срок месяц и более (методика 2)"/>
    <hyperlink ref="J7" location="'Расчет на срок &gt; 1 мес (мет.3)'!A1" display="Расчет суммы арендной платы на срок месяц и более (методика 3)"/>
    <hyperlink ref="J8" location="'Бухгалтерская справка'!A1" display="Бухгалтерская справка о размере фактических затрат по управлению и эксплуатации"/>
    <hyperlink ref="J9" location="'Расчет на срок &lt;1 мес (мет.1)'!A1" display="Расчет суммы арендной платы на срок менее месяца (методика 1)"/>
    <hyperlink ref="J10" location="'Расчет на срок &lt;1 мес (мет.2)'!A1" display="Расчет суммы арендной платы на срок менее месяца (методика 2)"/>
    <hyperlink ref="J11" location="'Расчет на срок &lt;1 мес (мет.3)'!A1" display="Расчет суммы арендной платы на срок менее месяца (методика 3)"/>
    <hyperlink ref="J12" location="'Калькуляция 1 м-часа'!A1" display="Калькуляция стоимости 1 машино-часа управления спецмеханизмом (с топливом)"/>
    <hyperlink ref="J13" location="'Калькуляция 1 м-ч (без топлива)'!A1" display="Калькуляция стоимости 1 машино-часа управления спецмеханизмом (без топлива)"/>
    <hyperlink ref="J14" location="топливо!A1" display="Расчет затрат на топливо за 1 маш.-ч для спецтехники"/>
    <hyperlink ref="J15" location="'смазочные материалы'!A1" display="Расчет затрат на смазочные материалы за 1 маш.час для спецтехники"/>
    <hyperlink ref="J16" location="ЗП!A1" display="Расчет  затрат на заработную плату за 1 маш.-час для спецтехники"/>
    <hyperlink ref="J17" location="'расчет % ОПР'!A1" display="Расчет процента общепроизводственных расходов"/>
    <hyperlink ref="J18" location="'расчет % ОХР'!A1" display="Расчет процента общехозяйственных расходов"/>
  </hyperlinks>
  <printOptions/>
  <pageMargins left="0.7" right="0.7" top="0.75" bottom="0.75" header="0.3" footer="0.3"/>
  <pageSetup horizontalDpi="300" verticalDpi="300" orientation="portrait" paperSize="9" scale="9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3"/>
  <sheetViews>
    <sheetView showGridLines="0" zoomScalePageLayoutView="0" workbookViewId="0" topLeftCell="A1">
      <selection activeCell="D5" sqref="D5"/>
    </sheetView>
  </sheetViews>
  <sheetFormatPr defaultColWidth="2.7109375" defaultRowHeight="12" customHeight="1"/>
  <cols>
    <col min="1" max="1" width="6.00390625" style="116" bestFit="1" customWidth="1"/>
    <col min="2" max="2" width="133.28125" style="133" customWidth="1"/>
    <col min="3" max="3" width="3.7109375" style="130" customWidth="1"/>
    <col min="4" max="4" width="73.28125" style="1" customWidth="1"/>
    <col min="5" max="5" width="13.8515625" style="131" customWidth="1"/>
    <col min="6" max="6" width="9.421875" style="116" customWidth="1"/>
    <col min="7" max="7" width="10.8515625" style="116" customWidth="1"/>
    <col min="8" max="8" width="8.28125" style="116" customWidth="1"/>
    <col min="9" max="9" width="9.00390625" style="116" customWidth="1"/>
    <col min="10" max="10" width="3.00390625" style="116" customWidth="1"/>
    <col min="11" max="11" width="2.7109375" style="116" customWidth="1"/>
    <col min="12" max="17" width="0" style="116" hidden="1" customWidth="1"/>
    <col min="18" max="19" width="2.7109375" style="116" customWidth="1"/>
    <col min="20" max="20" width="5.00390625" style="116" customWidth="1"/>
    <col min="21" max="25" width="4.140625" style="116" bestFit="1" customWidth="1"/>
    <col min="26" max="16384" width="2.7109375" style="116" customWidth="1"/>
  </cols>
  <sheetData>
    <row r="1" spans="2:15" ht="15" customHeight="1">
      <c r="B1" s="117"/>
      <c r="C1" s="118"/>
      <c r="E1" s="118"/>
      <c r="F1" s="118"/>
      <c r="G1" s="118"/>
      <c r="H1" s="118"/>
      <c r="I1" s="118"/>
      <c r="J1" s="119"/>
      <c r="K1" s="118"/>
      <c r="L1" s="118"/>
      <c r="M1" s="118"/>
      <c r="N1" s="118"/>
      <c r="O1" s="118"/>
    </row>
    <row r="2" spans="2:43" ht="30">
      <c r="B2" s="134" t="s">
        <v>215</v>
      </c>
      <c r="C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</row>
    <row r="3" spans="2:43" ht="38.25">
      <c r="B3" s="122" t="s">
        <v>216</v>
      </c>
      <c r="C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</row>
    <row r="4" spans="2:43" ht="38.25">
      <c r="B4" s="122" t="s">
        <v>192</v>
      </c>
      <c r="C4" s="118"/>
      <c r="D4" s="66" t="s">
        <v>227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3" ht="38.25">
      <c r="B5" s="122" t="s">
        <v>193</v>
      </c>
      <c r="C5" s="118"/>
      <c r="D5" s="66" t="s">
        <v>176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3" ht="51">
      <c r="B6" s="122" t="s">
        <v>194</v>
      </c>
      <c r="C6" s="118"/>
      <c r="D6" s="66" t="s">
        <v>177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</row>
    <row r="7" spans="2:43" ht="25.5">
      <c r="B7" s="122" t="s">
        <v>195</v>
      </c>
      <c r="C7" s="118"/>
      <c r="D7" s="66" t="s">
        <v>178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</row>
    <row r="8" spans="2:43" ht="25.5">
      <c r="B8" s="121" t="s">
        <v>196</v>
      </c>
      <c r="C8" s="118"/>
      <c r="D8" s="66" t="s">
        <v>182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</row>
    <row r="9" spans="2:43" ht="15">
      <c r="B9" s="135" t="s">
        <v>222</v>
      </c>
      <c r="C9" s="118"/>
      <c r="D9" s="66" t="s">
        <v>179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</row>
    <row r="10" spans="1:43" ht="15">
      <c r="A10" s="123"/>
      <c r="B10" s="136" t="s">
        <v>217</v>
      </c>
      <c r="C10" s="118"/>
      <c r="D10" s="66" t="s">
        <v>180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</row>
    <row r="11" spans="2:43" ht="15">
      <c r="B11" s="136" t="s">
        <v>218</v>
      </c>
      <c r="C11" s="118"/>
      <c r="D11" s="66" t="s">
        <v>181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</row>
    <row r="12" spans="2:43" ht="15">
      <c r="B12" s="136" t="s">
        <v>219</v>
      </c>
      <c r="C12" s="118"/>
      <c r="D12" s="66" t="s">
        <v>183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</row>
    <row r="13" spans="2:43" ht="15">
      <c r="B13" s="137" t="s">
        <v>220</v>
      </c>
      <c r="C13" s="118"/>
      <c r="D13" s="66" t="s">
        <v>184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</row>
    <row r="14" spans="2:43" ht="15">
      <c r="B14" s="136" t="s">
        <v>221</v>
      </c>
      <c r="C14" s="118"/>
      <c r="D14" s="66" t="s">
        <v>185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</row>
    <row r="15" spans="2:43" ht="25.5">
      <c r="B15" s="121" t="s">
        <v>197</v>
      </c>
      <c r="C15" s="118"/>
      <c r="D15" s="66" t="s">
        <v>186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</row>
    <row r="16" spans="2:43" ht="38.25">
      <c r="B16" s="122" t="s">
        <v>198</v>
      </c>
      <c r="C16" s="118"/>
      <c r="D16" s="66" t="s">
        <v>188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</row>
    <row r="17" spans="2:43" ht="25.5">
      <c r="B17" s="122" t="s">
        <v>199</v>
      </c>
      <c r="C17" s="118"/>
      <c r="D17" s="66" t="s">
        <v>74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</row>
    <row r="18" spans="1:43" ht="51">
      <c r="A18" s="123"/>
      <c r="B18" s="122" t="s">
        <v>200</v>
      </c>
      <c r="C18" s="118"/>
      <c r="D18" s="66" t="s">
        <v>90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25" s="125" customFormat="1" ht="15">
      <c r="A19" s="123"/>
      <c r="B19" s="122" t="s">
        <v>201</v>
      </c>
      <c r="C19" s="118"/>
      <c r="D19" s="1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24"/>
      <c r="W19" s="124"/>
      <c r="X19" s="124"/>
      <c r="Y19" s="124"/>
    </row>
    <row r="20" spans="2:25" ht="15">
      <c r="B20" s="129" t="s">
        <v>223</v>
      </c>
      <c r="C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24"/>
      <c r="W20" s="124"/>
      <c r="X20" s="124"/>
      <c r="Y20" s="124"/>
    </row>
    <row r="21" spans="2:25" s="120" customFormat="1" ht="15">
      <c r="B21" s="136" t="s">
        <v>217</v>
      </c>
      <c r="C21" s="118"/>
      <c r="D21" s="1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24"/>
      <c r="W21" s="124"/>
      <c r="X21" s="124"/>
      <c r="Y21" s="124"/>
    </row>
    <row r="22" spans="2:25" s="125" customFormat="1" ht="15">
      <c r="B22" s="128" t="s">
        <v>224</v>
      </c>
      <c r="C22" s="118"/>
      <c r="D22" s="6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24"/>
      <c r="W22" s="124"/>
      <c r="X22" s="124"/>
      <c r="Y22" s="124"/>
    </row>
    <row r="23" spans="2:25" s="126" customFormat="1" ht="15">
      <c r="B23" s="136" t="s">
        <v>221</v>
      </c>
      <c r="C23" s="118"/>
      <c r="D23" s="1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24"/>
      <c r="W23" s="124"/>
      <c r="X23" s="124"/>
      <c r="Y23" s="124"/>
    </row>
    <row r="24" spans="2:25" ht="15">
      <c r="B24" s="128" t="s">
        <v>202</v>
      </c>
      <c r="C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24"/>
      <c r="W24" s="124"/>
      <c r="X24" s="124"/>
      <c r="Y24" s="124"/>
    </row>
    <row r="25" spans="2:25" ht="39" customHeight="1">
      <c r="B25" s="122" t="s">
        <v>203</v>
      </c>
      <c r="C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24"/>
      <c r="W25" s="124"/>
      <c r="X25" s="124"/>
      <c r="Y25" s="124"/>
    </row>
    <row r="26" spans="2:25" ht="15">
      <c r="B26" s="135" t="s">
        <v>225</v>
      </c>
      <c r="C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24"/>
      <c r="W26" s="124"/>
      <c r="X26" s="124"/>
      <c r="Y26" s="124"/>
    </row>
    <row r="27" spans="2:25" s="125" customFormat="1" ht="15">
      <c r="B27" s="136" t="s">
        <v>217</v>
      </c>
      <c r="C27" s="118"/>
      <c r="D27" s="1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24"/>
      <c r="W27" s="124"/>
      <c r="X27" s="124"/>
      <c r="Y27" s="124"/>
    </row>
    <row r="28" spans="2:25" s="125" customFormat="1" ht="15">
      <c r="B28" s="136" t="s">
        <v>226</v>
      </c>
      <c r="C28" s="118"/>
      <c r="D28" s="1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24"/>
      <c r="W28" s="124"/>
      <c r="X28" s="124"/>
      <c r="Y28" s="124"/>
    </row>
    <row r="29" spans="2:25" s="125" customFormat="1" ht="15">
      <c r="B29" s="137" t="s">
        <v>220</v>
      </c>
      <c r="C29" s="118"/>
      <c r="D29" s="1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24"/>
      <c r="W29" s="124"/>
      <c r="X29" s="124"/>
      <c r="Y29" s="124"/>
    </row>
    <row r="30" spans="2:25" s="126" customFormat="1" ht="15">
      <c r="B30" s="136" t="s">
        <v>221</v>
      </c>
      <c r="C30" s="118"/>
      <c r="D30" s="1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24"/>
      <c r="W30" s="124"/>
      <c r="X30" s="124"/>
      <c r="Y30" s="124"/>
    </row>
    <row r="31" spans="1:25" s="126" customFormat="1" ht="25.5">
      <c r="A31" s="123"/>
      <c r="B31" s="127" t="s">
        <v>204</v>
      </c>
      <c r="C31" s="118"/>
      <c r="D31" s="1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24"/>
      <c r="W31" s="124"/>
      <c r="X31" s="124"/>
      <c r="Y31" s="124"/>
    </row>
    <row r="32" spans="2:25" s="126" customFormat="1" ht="25.5">
      <c r="B32" s="132" t="s">
        <v>199</v>
      </c>
      <c r="C32" s="118"/>
      <c r="D32" s="1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24"/>
      <c r="W32" s="124"/>
      <c r="X32" s="124"/>
      <c r="Y32" s="124"/>
    </row>
    <row r="33" spans="2:25" ht="38.25">
      <c r="B33" s="132" t="s">
        <v>205</v>
      </c>
      <c r="C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24"/>
      <c r="W33" s="124"/>
      <c r="X33" s="124"/>
      <c r="Y33" s="124"/>
    </row>
    <row r="34" spans="2:25" ht="25.5">
      <c r="B34" s="127" t="s">
        <v>206</v>
      </c>
      <c r="C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24"/>
      <c r="W34" s="124"/>
      <c r="X34" s="124"/>
      <c r="Y34" s="124"/>
    </row>
    <row r="35" spans="2:25" s="126" customFormat="1" ht="15">
      <c r="B35" s="127" t="s">
        <v>207</v>
      </c>
      <c r="C35" s="118"/>
      <c r="D35" s="22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24"/>
      <c r="W35" s="124"/>
      <c r="X35" s="124"/>
      <c r="Y35" s="124"/>
    </row>
    <row r="36" spans="2:25" s="126" customFormat="1" ht="38.25">
      <c r="B36" s="132" t="s">
        <v>208</v>
      </c>
      <c r="C36" s="118"/>
      <c r="D36" s="1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24"/>
      <c r="W36" s="124"/>
      <c r="X36" s="124"/>
      <c r="Y36" s="124"/>
    </row>
    <row r="37" spans="2:25" ht="15">
      <c r="B37" s="132" t="s">
        <v>209</v>
      </c>
      <c r="C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24"/>
      <c r="W37" s="124"/>
      <c r="X37" s="124"/>
      <c r="Y37" s="124"/>
    </row>
    <row r="38" spans="2:25" ht="25.5">
      <c r="B38" s="132" t="s">
        <v>210</v>
      </c>
      <c r="C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24"/>
      <c r="W38" s="124"/>
      <c r="X38" s="124"/>
      <c r="Y38" s="124"/>
    </row>
    <row r="39" spans="2:25" s="126" customFormat="1" ht="21" customHeight="1">
      <c r="B39" s="132" t="s">
        <v>211</v>
      </c>
      <c r="C39" s="118"/>
      <c r="D39" s="1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24"/>
      <c r="W39" s="124"/>
      <c r="X39" s="124"/>
      <c r="Y39" s="124"/>
    </row>
    <row r="40" spans="2:25" s="126" customFormat="1" ht="25.5">
      <c r="B40" s="132" t="s">
        <v>212</v>
      </c>
      <c r="C40" s="118"/>
      <c r="D40" s="1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24"/>
      <c r="W40" s="124"/>
      <c r="X40" s="124"/>
      <c r="Y40" s="124"/>
    </row>
    <row r="41" spans="2:25" ht="38.25">
      <c r="B41" s="132" t="s">
        <v>213</v>
      </c>
      <c r="C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24"/>
      <c r="W41" s="124"/>
      <c r="X41" s="124"/>
      <c r="Y41" s="124"/>
    </row>
    <row r="42" spans="1:25" ht="89.25">
      <c r="A42" s="123"/>
      <c r="B42" s="132" t="s">
        <v>214</v>
      </c>
      <c r="C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24"/>
      <c r="W42" s="124"/>
      <c r="X42" s="124"/>
      <c r="Y42" s="124"/>
    </row>
    <row r="43" ht="12" customHeight="1">
      <c r="B43" s="127"/>
    </row>
  </sheetData>
  <sheetProtection/>
  <hyperlinks>
    <hyperlink ref="D4" location="Положение!A1" display="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 (Указ от 23.10.2009 № 518)"/>
    <hyperlink ref="D5" location="'Расчет на срок &gt; 1 мес (мет.1)'!A1" display="Расчет суммы арендной платы на срок месяц и более (методика 1)"/>
    <hyperlink ref="D6" location="'Расчет на срок &gt; 1 мес (мет.2)'!A1" display="Расчет суммы арендной платы на срок месяц и более (методика 2)"/>
    <hyperlink ref="D7" location="'Расчет на срок &gt; 1 мес (мет.3)'!A1" display="Расчет суммы арендной платы на срок месяц и более (методика 3)"/>
    <hyperlink ref="D8" location="'Бухгалтерская справка'!A1" display="Бухгалтерская справка о размере фактических затрат по управлению и эксплуатации"/>
    <hyperlink ref="D9" location="'Расчет на срок &lt;1 мес (мет.1)'!A1" display="Расчет суммы арендной платы на срок менее месяца (методика 1)"/>
    <hyperlink ref="D10" location="'Расчет на срок &lt;1 мес (мет.2)'!A1" display="Расчет суммы арендной платы на срок менее месяца (методика 2)"/>
    <hyperlink ref="D11" location="'Расчет на срок &lt;1 мес (мет.3)'!A1" display="Расчет суммы арендной платы на срок менее месяца (методика 3)"/>
    <hyperlink ref="D12" location="'Калькуляция 1 м-часа'!A1" display="Калькуляция стоимости 1 машино-часа управления спецмеханизмом (с топливом)"/>
    <hyperlink ref="D13" location="'Калькуляция 1 м-ч (без топлива)'!A1" display="Калькуляция стоимости 1 машино-часа управления спецмеханизмом (без топлива)"/>
    <hyperlink ref="D14" location="топливо!A1" display="Расчет затрат на топливо за 1 маш.-ч для спецтехники"/>
    <hyperlink ref="D15" location="'смазочные материалы'!A1" display="Расчет затрат на смазочные материалы за 1 маш.час для спецтехники"/>
    <hyperlink ref="D16" location="ЗП!A1" display="Расчет  затрат на заработную плату за 1 маш.-час для спецтехники"/>
    <hyperlink ref="D17" location="'расчет % ОПР'!A1" display="Расчет процента общепроизводственных расходов"/>
    <hyperlink ref="D18" location="'расчет % ОХР'!A1" display="Расчет процента общехозяйственных расходов"/>
  </hyperlinks>
  <printOptions/>
  <pageMargins left="0.7" right="0.7" top="0.75" bottom="0.75" header="0.3" footer="0.3"/>
  <pageSetup horizontalDpi="600" verticalDpi="6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X47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1.421875" style="1" customWidth="1"/>
    <col min="5" max="5" width="8.8515625" style="1" customWidth="1"/>
    <col min="6" max="6" width="6.140625" style="1" customWidth="1"/>
    <col min="7" max="7" width="11.28125" style="1" customWidth="1"/>
    <col min="8" max="8" width="10.28125" style="1" customWidth="1"/>
    <col min="9" max="9" width="16.421875" style="1" customWidth="1"/>
    <col min="10" max="10" width="2.8515625" style="1" customWidth="1"/>
    <col min="11" max="11" width="2.14062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5" customHeight="1">
      <c r="B3" s="7"/>
      <c r="C3" s="33"/>
      <c r="D3" s="33"/>
      <c r="E3" s="33"/>
      <c r="F3" s="33"/>
      <c r="G3" s="139" t="s">
        <v>7</v>
      </c>
      <c r="H3" s="139"/>
      <c r="I3" s="33"/>
      <c r="J3" s="8"/>
    </row>
    <row r="4" spans="2:12" ht="15">
      <c r="B4" s="7"/>
      <c r="C4" s="33"/>
      <c r="D4" s="33"/>
      <c r="E4" s="33"/>
      <c r="F4" s="33"/>
      <c r="G4" s="82" t="str">
        <f>'Расчет на срок &gt; 1 мес (мет.1)'!G4:I4</f>
        <v>директор </v>
      </c>
      <c r="H4" s="59" t="str">
        <f>'Расчет на срок &gt; 1 мес (мет.1)'!H4</f>
        <v>РДУП "Автомобильный парк № 555"</v>
      </c>
      <c r="I4" s="59"/>
      <c r="J4" s="8"/>
      <c r="L4" s="66" t="s">
        <v>227</v>
      </c>
    </row>
    <row r="5" spans="2:12" ht="15">
      <c r="B5" s="7"/>
      <c r="C5" s="33"/>
      <c r="D5" s="33"/>
      <c r="E5" s="33"/>
      <c r="F5" s="33"/>
      <c r="G5" s="72"/>
      <c r="H5" s="154" t="str">
        <f>'Расчет на срок &gt; 1 мес (мет.1)'!H5:I5</f>
        <v>Иванов С.Т.</v>
      </c>
      <c r="I5" s="154"/>
      <c r="J5" s="51"/>
      <c r="L5" s="66" t="s">
        <v>176</v>
      </c>
    </row>
    <row r="6" spans="2:12" ht="20.25" customHeight="1">
      <c r="B6" s="7"/>
      <c r="C6" s="33"/>
      <c r="D6" s="33"/>
      <c r="E6" s="33"/>
      <c r="F6" s="33"/>
      <c r="G6" s="154" t="str">
        <f>'Расчет на срок &gt; 1 мес (мет.1)'!G6:I6</f>
        <v>"_____" ______________ 20___ г.</v>
      </c>
      <c r="H6" s="154"/>
      <c r="I6" s="154"/>
      <c r="J6" s="51"/>
      <c r="L6" s="66" t="s">
        <v>177</v>
      </c>
    </row>
    <row r="7" spans="2:12" ht="15">
      <c r="B7" s="7"/>
      <c r="C7" s="33"/>
      <c r="D7" s="33"/>
      <c r="E7" s="33"/>
      <c r="F7" s="33"/>
      <c r="G7" s="33"/>
      <c r="H7" s="35"/>
      <c r="I7" s="35"/>
      <c r="J7" s="8"/>
      <c r="L7" s="66" t="s">
        <v>178</v>
      </c>
    </row>
    <row r="8" spans="2:12" ht="15">
      <c r="B8" s="7"/>
      <c r="C8" s="141" t="s">
        <v>27</v>
      </c>
      <c r="D8" s="141"/>
      <c r="E8" s="141"/>
      <c r="F8" s="141"/>
      <c r="G8" s="141"/>
      <c r="H8" s="141"/>
      <c r="I8" s="141"/>
      <c r="J8" s="8"/>
      <c r="L8" s="66" t="s">
        <v>182</v>
      </c>
    </row>
    <row r="9" spans="2:12" ht="15">
      <c r="B9" s="7"/>
      <c r="C9" s="147" t="s">
        <v>97</v>
      </c>
      <c r="D9" s="147"/>
      <c r="E9" s="147"/>
      <c r="F9" s="147"/>
      <c r="G9" s="73" t="str">
        <f>'Расчет на срок &gt; 1 мес (мет.1)'!G9</f>
        <v>октябрь-ноябрь 2010 г.</v>
      </c>
      <c r="H9" s="67"/>
      <c r="I9" s="67"/>
      <c r="J9" s="8"/>
      <c r="L9" s="66" t="s">
        <v>179</v>
      </c>
    </row>
    <row r="10" spans="2:12" ht="9" customHeight="1">
      <c r="B10" s="7"/>
      <c r="C10" s="68"/>
      <c r="D10" s="68"/>
      <c r="E10" s="68"/>
      <c r="F10" s="68"/>
      <c r="G10" s="74" t="s">
        <v>119</v>
      </c>
      <c r="H10" s="67"/>
      <c r="I10" s="67"/>
      <c r="J10" s="8"/>
      <c r="L10" s="66" t="s">
        <v>180</v>
      </c>
    </row>
    <row r="11" spans="2:12" ht="12" customHeight="1">
      <c r="B11" s="7"/>
      <c r="C11" s="155" t="str">
        <f>'Расчет на срок &gt; 1 мес (мет.1)'!C11:I11</f>
        <v>Бульдозер PR722 Litronic</v>
      </c>
      <c r="D11" s="155"/>
      <c r="E11" s="155"/>
      <c r="F11" s="155"/>
      <c r="G11" s="155"/>
      <c r="H11" s="155"/>
      <c r="I11" s="155"/>
      <c r="J11" s="8"/>
      <c r="L11" s="66" t="s">
        <v>181</v>
      </c>
    </row>
    <row r="12" spans="2:12" ht="15">
      <c r="B12" s="7"/>
      <c r="C12" s="140" t="s">
        <v>118</v>
      </c>
      <c r="D12" s="140"/>
      <c r="E12" s="140"/>
      <c r="F12" s="140"/>
      <c r="G12" s="140"/>
      <c r="H12" s="140"/>
      <c r="I12" s="140"/>
      <c r="J12" s="8"/>
      <c r="L12" s="66" t="s">
        <v>183</v>
      </c>
    </row>
    <row r="13" spans="2:12" ht="15">
      <c r="B13" s="7"/>
      <c r="C13" s="10"/>
      <c r="D13" s="10"/>
      <c r="E13" s="10"/>
      <c r="F13" s="10"/>
      <c r="G13" s="11"/>
      <c r="H13" s="11"/>
      <c r="I13" s="11"/>
      <c r="J13" s="8"/>
      <c r="L13" s="66" t="s">
        <v>184</v>
      </c>
    </row>
    <row r="14" spans="2:12" ht="24" customHeight="1">
      <c r="B14" s="7"/>
      <c r="C14" s="12" t="s">
        <v>1</v>
      </c>
      <c r="D14" s="148" t="s">
        <v>13</v>
      </c>
      <c r="E14" s="149"/>
      <c r="F14" s="150"/>
      <c r="G14" s="12" t="s">
        <v>99</v>
      </c>
      <c r="H14" s="13" t="s">
        <v>98</v>
      </c>
      <c r="I14" s="13" t="s">
        <v>125</v>
      </c>
      <c r="J14" s="8"/>
      <c r="L14" s="66" t="s">
        <v>185</v>
      </c>
    </row>
    <row r="15" spans="2:12" ht="15">
      <c r="B15" s="7"/>
      <c r="C15" s="14">
        <v>1</v>
      </c>
      <c r="D15" s="144" t="s">
        <v>120</v>
      </c>
      <c r="E15" s="145"/>
      <c r="F15" s="146"/>
      <c r="G15" s="14"/>
      <c r="H15" s="14"/>
      <c r="I15" s="62">
        <v>50</v>
      </c>
      <c r="J15" s="8"/>
      <c r="K15" s="65"/>
      <c r="L15" s="66" t="s">
        <v>186</v>
      </c>
    </row>
    <row r="16" spans="2:12" ht="21" customHeight="1">
      <c r="B16" s="7"/>
      <c r="C16" s="14">
        <v>2</v>
      </c>
      <c r="D16" s="144" t="s">
        <v>104</v>
      </c>
      <c r="E16" s="145"/>
      <c r="F16" s="146"/>
      <c r="G16" s="14" t="s">
        <v>113</v>
      </c>
      <c r="H16" s="14" t="s">
        <v>36</v>
      </c>
      <c r="I16" s="64">
        <f>'Расчет на срок &gt; 1 мес (мет.1)'!I22</f>
        <v>8700000</v>
      </c>
      <c r="J16" s="8"/>
      <c r="K16" s="65"/>
      <c r="L16" s="66" t="s">
        <v>188</v>
      </c>
    </row>
    <row r="17" spans="2:12" ht="15">
      <c r="B17" s="7"/>
      <c r="C17" s="14">
        <v>3</v>
      </c>
      <c r="D17" s="144" t="s">
        <v>121</v>
      </c>
      <c r="E17" s="145"/>
      <c r="F17" s="146"/>
      <c r="G17" s="14" t="s">
        <v>124</v>
      </c>
      <c r="H17" s="14" t="s">
        <v>37</v>
      </c>
      <c r="I17" s="39">
        <v>0.18</v>
      </c>
      <c r="J17" s="8"/>
      <c r="K17" s="65"/>
      <c r="L17" s="66" t="s">
        <v>74</v>
      </c>
    </row>
    <row r="18" spans="2:12" ht="15">
      <c r="B18" s="7"/>
      <c r="C18" s="14">
        <v>4</v>
      </c>
      <c r="D18" s="144" t="s">
        <v>122</v>
      </c>
      <c r="E18" s="145"/>
      <c r="F18" s="146"/>
      <c r="G18" s="14" t="s">
        <v>108</v>
      </c>
      <c r="H18" s="14" t="s">
        <v>37</v>
      </c>
      <c r="I18" s="79">
        <f>'Расчет на срок &gt; 1 мес (мет.1)'!I19</f>
        <v>0.2</v>
      </c>
      <c r="J18" s="8"/>
      <c r="K18" s="65"/>
      <c r="L18" s="66" t="s">
        <v>90</v>
      </c>
    </row>
    <row r="19" spans="2:11" ht="10.5">
      <c r="B19" s="7"/>
      <c r="C19" s="14">
        <v>5</v>
      </c>
      <c r="D19" s="144" t="s">
        <v>103</v>
      </c>
      <c r="E19" s="145"/>
      <c r="F19" s="146"/>
      <c r="G19" s="14" t="s">
        <v>112</v>
      </c>
      <c r="H19" s="14" t="s">
        <v>36</v>
      </c>
      <c r="I19" s="16">
        <f>IF(OR('Расчет на срок &gt; 1 мес (мет.1)'!I43="да",I15&gt;=90),0,ROUND(I16*(1+I17)*(1+I18),0))</f>
        <v>12319200</v>
      </c>
      <c r="J19" s="8"/>
      <c r="K19" s="65"/>
    </row>
    <row r="20" spans="2:11" ht="10.5">
      <c r="B20" s="7"/>
      <c r="C20" s="14">
        <v>6</v>
      </c>
      <c r="D20" s="144" t="s">
        <v>105</v>
      </c>
      <c r="E20" s="145"/>
      <c r="F20" s="146"/>
      <c r="G20" s="14" t="s">
        <v>109</v>
      </c>
      <c r="H20" s="14" t="s">
        <v>107</v>
      </c>
      <c r="I20" s="16">
        <f>'Расчет на срок &gt; 1 мес (мет.1)'!I23</f>
        <v>2</v>
      </c>
      <c r="J20" s="8"/>
      <c r="K20" s="65"/>
    </row>
    <row r="21" spans="2:11" ht="10.5">
      <c r="B21" s="7"/>
      <c r="C21" s="14">
        <v>7</v>
      </c>
      <c r="D21" s="144" t="s">
        <v>106</v>
      </c>
      <c r="E21" s="145"/>
      <c r="F21" s="146"/>
      <c r="G21" s="14" t="s">
        <v>114</v>
      </c>
      <c r="H21" s="14" t="s">
        <v>36</v>
      </c>
      <c r="I21" s="16">
        <f>I19*I20</f>
        <v>24638400</v>
      </c>
      <c r="J21" s="8"/>
      <c r="K21" s="65"/>
    </row>
    <row r="22" spans="2:12" ht="15">
      <c r="B22" s="7"/>
      <c r="C22" s="14">
        <v>8</v>
      </c>
      <c r="D22" s="144" t="s">
        <v>116</v>
      </c>
      <c r="E22" s="145"/>
      <c r="F22" s="146"/>
      <c r="G22" s="14"/>
      <c r="H22" s="14" t="s">
        <v>36</v>
      </c>
      <c r="I22" s="16">
        <f>ROUND((I21*I18)/(1+I18),0)</f>
        <v>4106400</v>
      </c>
      <c r="J22" s="8"/>
      <c r="K22" s="65"/>
      <c r="L22" s="66"/>
    </row>
    <row r="23" spans="2:10" ht="10.5">
      <c r="B23" s="7"/>
      <c r="C23" s="10"/>
      <c r="D23" s="10"/>
      <c r="E23" s="10"/>
      <c r="F23" s="10"/>
      <c r="G23" s="11"/>
      <c r="H23" s="11"/>
      <c r="I23" s="11"/>
      <c r="J23" s="8"/>
    </row>
    <row r="24" spans="2:10" ht="10.5">
      <c r="B24" s="7"/>
      <c r="C24" s="10"/>
      <c r="D24" s="10"/>
      <c r="E24" s="10"/>
      <c r="F24" s="10"/>
      <c r="G24" s="11"/>
      <c r="H24" s="11"/>
      <c r="I24" s="11"/>
      <c r="J24" s="8"/>
    </row>
    <row r="25" spans="2:10" ht="10.5">
      <c r="B25" s="7"/>
      <c r="C25" s="10"/>
      <c r="D25" s="10"/>
      <c r="E25" s="10"/>
      <c r="F25" s="10"/>
      <c r="G25" s="61"/>
      <c r="H25" s="61"/>
      <c r="I25" s="11"/>
      <c r="J25" s="8"/>
    </row>
    <row r="26" spans="2:10" ht="10.5">
      <c r="B26" s="7"/>
      <c r="C26" s="10" t="s">
        <v>5</v>
      </c>
      <c r="D26" s="10"/>
      <c r="E26" s="151"/>
      <c r="F26" s="151"/>
      <c r="G26" s="153" t="str">
        <f>'Расчет на срок &gt; 1 мес (мет.1)'!G29:H29</f>
        <v>Петрова А.А.</v>
      </c>
      <c r="H26" s="153"/>
      <c r="I26" s="11"/>
      <c r="J26" s="8"/>
    </row>
    <row r="27" spans="2:10" ht="23.25" customHeight="1">
      <c r="B27" s="7"/>
      <c r="C27" s="10"/>
      <c r="D27" s="10"/>
      <c r="E27" s="152" t="s">
        <v>9</v>
      </c>
      <c r="F27" s="152"/>
      <c r="G27" s="75"/>
      <c r="H27" s="75"/>
      <c r="I27" s="11"/>
      <c r="J27" s="8"/>
    </row>
    <row r="28" spans="2:10" ht="10.5">
      <c r="B28" s="7"/>
      <c r="C28" s="10" t="s">
        <v>6</v>
      </c>
      <c r="D28" s="10"/>
      <c r="E28" s="151"/>
      <c r="F28" s="151"/>
      <c r="G28" s="153" t="str">
        <f>'Расчет на срок &gt; 1 мес (мет.1)'!G31:H31</f>
        <v>Сидорова А.А.</v>
      </c>
      <c r="H28" s="153"/>
      <c r="I28" s="11"/>
      <c r="J28" s="8"/>
    </row>
    <row r="29" spans="2:10" ht="10.5">
      <c r="B29" s="7"/>
      <c r="C29" s="10"/>
      <c r="D29" s="10"/>
      <c r="E29" s="152" t="s">
        <v>9</v>
      </c>
      <c r="F29" s="152"/>
      <c r="G29" s="11"/>
      <c r="H29" s="11"/>
      <c r="I29" s="11"/>
      <c r="J29" s="8"/>
    </row>
    <row r="30" spans="2:10" ht="10.5">
      <c r="B30" s="7"/>
      <c r="C30" s="10"/>
      <c r="D30" s="10"/>
      <c r="E30" s="10"/>
      <c r="F30" s="10"/>
      <c r="G30" s="11"/>
      <c r="H30" s="11"/>
      <c r="I30" s="11"/>
      <c r="J30" s="8"/>
    </row>
    <row r="31" spans="2:10" ht="10.5">
      <c r="B31" s="7"/>
      <c r="C31" s="10"/>
      <c r="D31" s="10"/>
      <c r="E31" s="10"/>
      <c r="F31" s="10"/>
      <c r="G31" s="11"/>
      <c r="H31" s="11"/>
      <c r="I31" s="11"/>
      <c r="J31" s="8"/>
    </row>
    <row r="32" spans="1:50" s="22" customFormat="1" ht="10.5">
      <c r="A32" s="18"/>
      <c r="B32" s="19"/>
      <c r="C32" s="20"/>
      <c r="D32" s="20"/>
      <c r="E32" s="20"/>
      <c r="F32" s="20"/>
      <c r="G32" s="20"/>
      <c r="H32" s="20"/>
      <c r="I32" s="20"/>
      <c r="J32" s="21"/>
      <c r="L32" s="1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2:50" ht="11.25" thickBot="1">
      <c r="B33" s="24"/>
      <c r="C33" s="25"/>
      <c r="D33" s="25"/>
      <c r="E33" s="25"/>
      <c r="F33" s="25"/>
      <c r="G33" s="25"/>
      <c r="H33" s="25"/>
      <c r="I33" s="25"/>
      <c r="J33" s="2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4:50" ht="10.5">
      <c r="N34" s="27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9"/>
      <c r="AO34" s="28"/>
      <c r="AP34" s="28"/>
      <c r="AQ34" s="28"/>
      <c r="AR34" s="28"/>
      <c r="AS34" s="28"/>
      <c r="AT34" s="28"/>
      <c r="AU34" s="28"/>
      <c r="AV34" s="28"/>
      <c r="AW34" s="28"/>
      <c r="AX34" s="28"/>
    </row>
    <row r="35" spans="12:50" ht="10.5">
      <c r="L35" s="22"/>
      <c r="N35" s="23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9"/>
      <c r="AJ35" s="29"/>
      <c r="AK35" s="29"/>
      <c r="AL35" s="29"/>
      <c r="AM35" s="29"/>
      <c r="AN35" s="29"/>
      <c r="AO35" s="28"/>
      <c r="AP35" s="28"/>
      <c r="AQ35" s="28"/>
      <c r="AR35" s="28"/>
      <c r="AS35" s="28"/>
      <c r="AT35" s="28"/>
      <c r="AU35" s="28"/>
      <c r="AV35" s="28"/>
      <c r="AW35" s="28"/>
      <c r="AX35" s="28"/>
    </row>
    <row r="36" spans="3:50" ht="10.5">
      <c r="C36" s="30"/>
      <c r="D36" s="30"/>
      <c r="E36" s="30"/>
      <c r="F36" s="30"/>
      <c r="N36" s="27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9"/>
      <c r="AJ36" s="29"/>
      <c r="AK36" s="29"/>
      <c r="AL36" s="29"/>
      <c r="AM36" s="29"/>
      <c r="AN36" s="29"/>
      <c r="AO36" s="28"/>
      <c r="AP36" s="28"/>
      <c r="AQ36" s="28"/>
      <c r="AR36" s="28"/>
      <c r="AS36" s="28"/>
      <c r="AT36" s="28"/>
      <c r="AU36" s="28"/>
      <c r="AV36" s="28"/>
      <c r="AW36" s="28"/>
      <c r="AX36" s="28"/>
    </row>
    <row r="37" spans="3:50" ht="10.5">
      <c r="C37" s="30"/>
      <c r="D37" s="30"/>
      <c r="E37" s="30"/>
      <c r="F37" s="30"/>
      <c r="N37" s="27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9"/>
      <c r="AJ37" s="29"/>
      <c r="AK37" s="29"/>
      <c r="AL37" s="29"/>
      <c r="AM37" s="29"/>
      <c r="AN37" s="29"/>
      <c r="AO37" s="28"/>
      <c r="AP37" s="28"/>
      <c r="AQ37" s="28"/>
      <c r="AR37" s="28"/>
      <c r="AS37" s="28"/>
      <c r="AT37" s="28"/>
      <c r="AU37" s="28"/>
      <c r="AV37" s="28"/>
      <c r="AW37" s="28"/>
      <c r="AX37" s="28"/>
    </row>
    <row r="38" spans="3:50" ht="10.5">
      <c r="C38" s="30"/>
      <c r="D38" s="30"/>
      <c r="E38" s="30"/>
      <c r="F38" s="30"/>
      <c r="N38" s="27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9"/>
      <c r="AJ38" s="29"/>
      <c r="AK38" s="29"/>
      <c r="AL38" s="29"/>
      <c r="AM38" s="29"/>
      <c r="AN38" s="29"/>
      <c r="AO38" s="28"/>
      <c r="AP38" s="28"/>
      <c r="AQ38" s="28"/>
      <c r="AR38" s="28"/>
      <c r="AS38" s="28"/>
      <c r="AT38" s="28"/>
      <c r="AU38" s="28"/>
      <c r="AV38" s="28"/>
      <c r="AW38" s="28"/>
      <c r="AX38" s="28"/>
    </row>
    <row r="39" spans="3:50" ht="10.5">
      <c r="C39" s="30"/>
      <c r="D39" s="30"/>
      <c r="E39" s="30"/>
      <c r="F39" s="30"/>
      <c r="N39" s="27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9"/>
      <c r="AJ39" s="29"/>
      <c r="AK39" s="29"/>
      <c r="AL39" s="29"/>
      <c r="AM39" s="29"/>
      <c r="AN39" s="29"/>
      <c r="AO39" s="28"/>
      <c r="AP39" s="28"/>
      <c r="AQ39" s="28"/>
      <c r="AR39" s="28"/>
      <c r="AS39" s="28"/>
      <c r="AT39" s="28"/>
      <c r="AU39" s="28"/>
      <c r="AV39" s="28"/>
      <c r="AW39" s="28"/>
      <c r="AX39" s="28"/>
    </row>
    <row r="40" spans="3:50" ht="10.5">
      <c r="C40" s="30"/>
      <c r="D40" s="30"/>
      <c r="E40" s="30"/>
      <c r="F40" s="30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9"/>
      <c r="AJ40" s="29"/>
      <c r="AK40" s="29"/>
      <c r="AL40" s="29"/>
      <c r="AM40" s="29"/>
      <c r="AN40" s="29"/>
      <c r="AO40" s="28"/>
      <c r="AP40" s="28"/>
      <c r="AQ40" s="28"/>
      <c r="AR40" s="28"/>
      <c r="AS40" s="28"/>
      <c r="AT40" s="28"/>
      <c r="AU40" s="28"/>
      <c r="AV40" s="28"/>
      <c r="AW40" s="28"/>
      <c r="AX40" s="28"/>
    </row>
    <row r="41" spans="3:50" ht="10.5">
      <c r="C41" s="30"/>
      <c r="D41" s="30"/>
      <c r="E41" s="30"/>
      <c r="F41" s="30"/>
      <c r="N41" s="27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</row>
    <row r="42" spans="3:50" ht="10.5">
      <c r="C42" s="30"/>
      <c r="D42" s="30"/>
      <c r="E42" s="30"/>
      <c r="F42" s="30"/>
      <c r="N42" s="27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</row>
    <row r="43" spans="3:50" ht="10.5">
      <c r="C43" s="30"/>
      <c r="D43" s="30"/>
      <c r="E43" s="30"/>
      <c r="F43" s="30"/>
      <c r="N43" s="27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3:50" ht="10.5">
      <c r="C44" s="30"/>
      <c r="D44" s="30"/>
      <c r="E44" s="30"/>
      <c r="F44" s="30"/>
      <c r="N44" s="27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3:50" ht="10.5">
      <c r="C45" s="30"/>
      <c r="D45" s="30"/>
      <c r="E45" s="30"/>
      <c r="F45" s="30"/>
      <c r="N45" s="2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3:50" ht="10.5">
      <c r="C46" s="30"/>
      <c r="D46" s="30"/>
      <c r="E46" s="30"/>
      <c r="F46" s="30"/>
      <c r="N46" s="27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</row>
    <row r="47" spans="3:6" ht="10.5">
      <c r="C47" s="30"/>
      <c r="D47" s="30"/>
      <c r="E47" s="30"/>
      <c r="F47" s="30"/>
    </row>
  </sheetData>
  <sheetProtection/>
  <mergeCells count="22">
    <mergeCell ref="G28:H28"/>
    <mergeCell ref="D14:F14"/>
    <mergeCell ref="D15:F15"/>
    <mergeCell ref="D16:F16"/>
    <mergeCell ref="D17:F17"/>
    <mergeCell ref="G3:H3"/>
    <mergeCell ref="C12:I12"/>
    <mergeCell ref="G26:H26"/>
    <mergeCell ref="E27:F27"/>
    <mergeCell ref="D18:F18"/>
    <mergeCell ref="H5:I5"/>
    <mergeCell ref="G6:I6"/>
    <mergeCell ref="C8:I8"/>
    <mergeCell ref="C9:F9"/>
    <mergeCell ref="C11:I11"/>
    <mergeCell ref="E29:F29"/>
    <mergeCell ref="D19:F19"/>
    <mergeCell ref="D20:F20"/>
    <mergeCell ref="D21:F21"/>
    <mergeCell ref="D22:F22"/>
    <mergeCell ref="E26:F26"/>
    <mergeCell ref="E28:F28"/>
  </mergeCells>
  <hyperlinks>
    <hyperlink ref="L4" location="Положение!A1" display="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 (Указ от 23.10.2009 № 518)"/>
    <hyperlink ref="L5" location="'Расчет на срок &gt; 1 мес (мет.1)'!A1" display="Расчет суммы арендной платы на срок месяц и более (методика 1)"/>
    <hyperlink ref="L6" location="'Расчет на срок &gt; 1 мес (мет.2)'!A1" display="Расчет суммы арендной платы на срок месяц и более (методика 2)"/>
    <hyperlink ref="L7" location="'Расчет на срок &gt; 1 мес (мет.3)'!A1" display="Расчет суммы арендной платы на срок месяц и более (методика 3)"/>
    <hyperlink ref="L8" location="'Бухгалтерская справка'!A1" display="Бухгалтерская справка о размере фактических затрат по управлению и эксплуатации"/>
    <hyperlink ref="L9" location="'Расчет на срок &lt;1 мес (мет.1)'!A1" display="Расчет суммы арендной платы на срок менее месяца (методика 1)"/>
    <hyperlink ref="L10" location="'Расчет на срок &lt;1 мес (мет.2)'!A1" display="Расчет суммы арендной платы на срок менее месяца (методика 2)"/>
    <hyperlink ref="L11" location="'Расчет на срок &lt;1 мес (мет.3)'!A1" display="Расчет суммы арендной платы на срок менее месяца (методика 3)"/>
    <hyperlink ref="L12" location="'Калькуляция 1 м-часа'!A1" display="Калькуляция стоимости 1 машино-часа управления спецмеханизмом (с топливом)"/>
    <hyperlink ref="L13" location="'Калькуляция 1 м-ч (без топлива)'!A1" display="Калькуляция стоимости 1 машино-часа управления спецмеханизмом (без топлива)"/>
    <hyperlink ref="L14" location="топливо!A1" display="Расчет затрат на топливо за 1 маш.-ч для спецтехники"/>
    <hyperlink ref="L15" location="'смазочные материалы'!A1" display="Расчет затрат на смазочные материалы за 1 маш.час для спецтехники"/>
    <hyperlink ref="L16" location="ЗП!A1" display="Расчет  затрат на заработную плату за 1 маш.-час для спецтехники"/>
    <hyperlink ref="L17" location="'расчет % ОПР'!A1" display="Расчет процента общепроизводственных расходов"/>
    <hyperlink ref="L18" location="'расчет % ОХР'!A1" display="Расчет процента общехозяйственных расходов"/>
  </hyperlinks>
  <printOptions/>
  <pageMargins left="0.7" right="0.7" top="0.75" bottom="0.75" header="0.3" footer="0.3"/>
  <pageSetup horizontalDpi="300" verticalDpi="3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X46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1.421875" style="1" customWidth="1"/>
    <col min="5" max="5" width="15.140625" style="1" customWidth="1"/>
    <col min="6" max="6" width="1.28515625" style="1" customWidth="1"/>
    <col min="7" max="7" width="14.28125" style="1" bestFit="1" customWidth="1"/>
    <col min="8" max="8" width="12.140625" style="1" customWidth="1"/>
    <col min="9" max="9" width="18.28125" style="1" customWidth="1"/>
    <col min="10" max="10" width="2.8515625" style="1" customWidth="1"/>
    <col min="11" max="11" width="2.14062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5" customHeight="1">
      <c r="B3" s="7"/>
      <c r="C3" s="33"/>
      <c r="D3" s="33"/>
      <c r="E3" s="33"/>
      <c r="F3" s="33"/>
      <c r="G3" s="139" t="s">
        <v>7</v>
      </c>
      <c r="H3" s="139"/>
      <c r="I3" s="33"/>
      <c r="J3" s="8"/>
    </row>
    <row r="4" spans="2:12" ht="15">
      <c r="B4" s="7"/>
      <c r="C4" s="33"/>
      <c r="D4" s="33"/>
      <c r="E4" s="33"/>
      <c r="F4" s="33"/>
      <c r="G4" s="82" t="str">
        <f>'Расчет на срок &gt; 1 мес (мет.1)'!G4:I4</f>
        <v>директор </v>
      </c>
      <c r="H4" s="59" t="str">
        <f>'Расчет на срок &gt; 1 мес (мет.2)'!H4</f>
        <v>РДУП "Автомобильный парк № 555"</v>
      </c>
      <c r="I4" s="59"/>
      <c r="J4" s="8"/>
      <c r="L4" s="66" t="s">
        <v>227</v>
      </c>
    </row>
    <row r="5" spans="2:12" ht="15">
      <c r="B5" s="7"/>
      <c r="C5" s="33"/>
      <c r="D5" s="33"/>
      <c r="E5" s="33"/>
      <c r="F5" s="33"/>
      <c r="G5" s="72"/>
      <c r="H5" s="154" t="str">
        <f>'Расчет на срок &gt; 1 мес (мет.1)'!H5:I5</f>
        <v>Иванов С.Т.</v>
      </c>
      <c r="I5" s="154"/>
      <c r="J5" s="51"/>
      <c r="L5" s="66" t="s">
        <v>176</v>
      </c>
    </row>
    <row r="6" spans="2:12" ht="20.25" customHeight="1">
      <c r="B6" s="7"/>
      <c r="C6" s="33"/>
      <c r="D6" s="33"/>
      <c r="E6" s="33"/>
      <c r="F6" s="33"/>
      <c r="G6" s="154" t="str">
        <f>'Расчет на срок &gt; 1 мес (мет.1)'!G6:I6</f>
        <v>"_____" ______________ 20___ г.</v>
      </c>
      <c r="H6" s="154"/>
      <c r="I6" s="154"/>
      <c r="J6" s="51"/>
      <c r="L6" s="66" t="s">
        <v>177</v>
      </c>
    </row>
    <row r="7" spans="2:12" ht="15">
      <c r="B7" s="7"/>
      <c r="C7" s="33"/>
      <c r="D7" s="33"/>
      <c r="E7" s="33"/>
      <c r="F7" s="33"/>
      <c r="G7" s="33"/>
      <c r="H7" s="35"/>
      <c r="I7" s="35"/>
      <c r="J7" s="8"/>
      <c r="L7" s="66" t="s">
        <v>178</v>
      </c>
    </row>
    <row r="8" spans="2:12" ht="15">
      <c r="B8" s="7"/>
      <c r="C8" s="141" t="s">
        <v>27</v>
      </c>
      <c r="D8" s="141"/>
      <c r="E8" s="141"/>
      <c r="F8" s="141"/>
      <c r="G8" s="141"/>
      <c r="H8" s="141"/>
      <c r="I8" s="141"/>
      <c r="J8" s="8"/>
      <c r="L8" s="66" t="s">
        <v>182</v>
      </c>
    </row>
    <row r="9" spans="2:12" ht="15">
      <c r="B9" s="7"/>
      <c r="C9" s="147" t="s">
        <v>97</v>
      </c>
      <c r="D9" s="147"/>
      <c r="E9" s="147"/>
      <c r="F9" s="147"/>
      <c r="G9" s="73" t="str">
        <f>'Расчет на срок &gt; 1 мес (мет.1)'!G9</f>
        <v>октябрь-ноябрь 2010 г.</v>
      </c>
      <c r="H9" s="67"/>
      <c r="I9" s="67"/>
      <c r="J9" s="8"/>
      <c r="L9" s="66" t="s">
        <v>179</v>
      </c>
    </row>
    <row r="10" spans="2:12" ht="9" customHeight="1">
      <c r="B10" s="7"/>
      <c r="C10" s="68"/>
      <c r="D10" s="68"/>
      <c r="E10" s="68"/>
      <c r="F10" s="68"/>
      <c r="G10" s="74" t="s">
        <v>119</v>
      </c>
      <c r="H10" s="67"/>
      <c r="I10" s="67"/>
      <c r="J10" s="8"/>
      <c r="L10" s="66" t="s">
        <v>180</v>
      </c>
    </row>
    <row r="11" spans="2:12" ht="12" customHeight="1">
      <c r="B11" s="7"/>
      <c r="C11" s="155" t="str">
        <f>'Расчет на срок &gt; 1 мес (мет.1)'!C11:I11</f>
        <v>Бульдозер PR722 Litronic</v>
      </c>
      <c r="D11" s="155"/>
      <c r="E11" s="155"/>
      <c r="F11" s="155"/>
      <c r="G11" s="155"/>
      <c r="H11" s="155"/>
      <c r="I11" s="155"/>
      <c r="J11" s="8"/>
      <c r="L11" s="66" t="s">
        <v>181</v>
      </c>
    </row>
    <row r="12" spans="2:12" ht="15">
      <c r="B12" s="7"/>
      <c r="C12" s="140" t="s">
        <v>118</v>
      </c>
      <c r="D12" s="140"/>
      <c r="E12" s="140"/>
      <c r="F12" s="140"/>
      <c r="G12" s="140"/>
      <c r="H12" s="140"/>
      <c r="I12" s="140"/>
      <c r="J12" s="8"/>
      <c r="L12" s="66" t="s">
        <v>183</v>
      </c>
    </row>
    <row r="13" spans="2:12" ht="15">
      <c r="B13" s="7"/>
      <c r="C13" s="10"/>
      <c r="D13" s="10"/>
      <c r="E13" s="10"/>
      <c r="F13" s="10"/>
      <c r="G13" s="11"/>
      <c r="H13" s="11"/>
      <c r="I13" s="11"/>
      <c r="J13" s="8"/>
      <c r="L13" s="66" t="s">
        <v>184</v>
      </c>
    </row>
    <row r="14" spans="2:12" ht="24" customHeight="1">
      <c r="B14" s="7"/>
      <c r="C14" s="12" t="s">
        <v>1</v>
      </c>
      <c r="D14" s="148" t="s">
        <v>13</v>
      </c>
      <c r="E14" s="149"/>
      <c r="F14" s="150"/>
      <c r="G14" s="12" t="s">
        <v>99</v>
      </c>
      <c r="H14" s="13" t="s">
        <v>98</v>
      </c>
      <c r="I14" s="13" t="s">
        <v>125</v>
      </c>
      <c r="J14" s="8"/>
      <c r="L14" s="66" t="s">
        <v>185</v>
      </c>
    </row>
    <row r="15" spans="2:12" ht="21.75" customHeight="1">
      <c r="B15" s="7"/>
      <c r="C15" s="14">
        <v>1</v>
      </c>
      <c r="D15" s="144" t="s">
        <v>126</v>
      </c>
      <c r="E15" s="145"/>
      <c r="F15" s="146"/>
      <c r="G15" s="14" t="s">
        <v>127</v>
      </c>
      <c r="H15" s="14" t="s">
        <v>36</v>
      </c>
      <c r="I15" s="15">
        <v>30000000</v>
      </c>
      <c r="J15" s="8"/>
      <c r="K15" s="65"/>
      <c r="L15" s="66" t="s">
        <v>186</v>
      </c>
    </row>
    <row r="16" spans="2:12" ht="14.25" customHeight="1">
      <c r="B16" s="7"/>
      <c r="C16" s="14">
        <v>2</v>
      </c>
      <c r="D16" s="144" t="s">
        <v>102</v>
      </c>
      <c r="E16" s="145"/>
      <c r="F16" s="146"/>
      <c r="G16" s="14" t="s">
        <v>117</v>
      </c>
      <c r="H16" s="14"/>
      <c r="I16" s="63">
        <f>'Расчет на срок &gt; 1 мес (мет.1)'!I18</f>
        <v>1.1</v>
      </c>
      <c r="J16" s="8"/>
      <c r="K16" s="65"/>
      <c r="L16" s="66" t="s">
        <v>188</v>
      </c>
    </row>
    <row r="17" spans="2:12" ht="15">
      <c r="B17" s="7"/>
      <c r="C17" s="14">
        <v>3</v>
      </c>
      <c r="D17" s="144" t="s">
        <v>122</v>
      </c>
      <c r="E17" s="145"/>
      <c r="F17" s="146"/>
      <c r="G17" s="14" t="s">
        <v>108</v>
      </c>
      <c r="H17" s="14" t="s">
        <v>37</v>
      </c>
      <c r="I17" s="79">
        <f>'Расчет на срок &gt; 1 мес (мет.1)'!I19</f>
        <v>0.2</v>
      </c>
      <c r="J17" s="8"/>
      <c r="K17" s="65"/>
      <c r="L17" s="66" t="s">
        <v>74</v>
      </c>
    </row>
    <row r="18" spans="2:12" ht="15">
      <c r="B18" s="7"/>
      <c r="C18" s="14">
        <v>4</v>
      </c>
      <c r="D18" s="144" t="s">
        <v>103</v>
      </c>
      <c r="E18" s="145"/>
      <c r="F18" s="146"/>
      <c r="G18" s="14" t="s">
        <v>112</v>
      </c>
      <c r="H18" s="14" t="s">
        <v>36</v>
      </c>
      <c r="I18" s="16">
        <f>IF('Расчет на срок &gt; 1 мес (мет.2)'!I15&lt;90,0,(ROUND(I15*0.1*I16*(1+I17),0)))</f>
        <v>0</v>
      </c>
      <c r="J18" s="8"/>
      <c r="K18" s="65"/>
      <c r="L18" s="66" t="s">
        <v>90</v>
      </c>
    </row>
    <row r="19" spans="2:11" ht="10.5">
      <c r="B19" s="7"/>
      <c r="C19" s="14">
        <v>5</v>
      </c>
      <c r="D19" s="144" t="s">
        <v>105</v>
      </c>
      <c r="E19" s="145"/>
      <c r="F19" s="146"/>
      <c r="G19" s="14" t="s">
        <v>109</v>
      </c>
      <c r="H19" s="14" t="s">
        <v>107</v>
      </c>
      <c r="I19" s="16">
        <f>'Расчет на срок &gt; 1 мес (мет.1)'!I23</f>
        <v>2</v>
      </c>
      <c r="J19" s="8"/>
      <c r="K19" s="65"/>
    </row>
    <row r="20" spans="2:11" ht="10.5">
      <c r="B20" s="7"/>
      <c r="C20" s="14">
        <v>6</v>
      </c>
      <c r="D20" s="144" t="s">
        <v>106</v>
      </c>
      <c r="E20" s="145"/>
      <c r="F20" s="146"/>
      <c r="G20" s="14" t="s">
        <v>114</v>
      </c>
      <c r="H20" s="14" t="s">
        <v>36</v>
      </c>
      <c r="I20" s="16">
        <f>I18*I19</f>
        <v>0</v>
      </c>
      <c r="J20" s="8"/>
      <c r="K20" s="65"/>
    </row>
    <row r="21" spans="2:11" ht="10.5">
      <c r="B21" s="7"/>
      <c r="C21" s="14">
        <v>7</v>
      </c>
      <c r="D21" s="144" t="s">
        <v>116</v>
      </c>
      <c r="E21" s="145"/>
      <c r="F21" s="146"/>
      <c r="G21" s="14"/>
      <c r="H21" s="14" t="s">
        <v>36</v>
      </c>
      <c r="I21" s="16">
        <f>ROUND((I20*I17)/(1+I17),0)</f>
        <v>0</v>
      </c>
      <c r="J21" s="8"/>
      <c r="K21" s="65"/>
    </row>
    <row r="22" spans="2:12" ht="15">
      <c r="B22" s="7"/>
      <c r="C22" s="10"/>
      <c r="D22" s="10"/>
      <c r="E22" s="10"/>
      <c r="F22" s="10"/>
      <c r="G22" s="11"/>
      <c r="H22" s="11"/>
      <c r="I22" s="11"/>
      <c r="J22" s="8"/>
      <c r="L22" s="66"/>
    </row>
    <row r="23" spans="2:10" ht="10.5">
      <c r="B23" s="7"/>
      <c r="C23" s="10"/>
      <c r="D23" s="10"/>
      <c r="E23" s="10"/>
      <c r="F23" s="10"/>
      <c r="G23" s="11"/>
      <c r="H23" s="11"/>
      <c r="I23" s="11"/>
      <c r="J23" s="8"/>
    </row>
    <row r="24" spans="2:10" ht="10.5">
      <c r="B24" s="7"/>
      <c r="C24" s="10"/>
      <c r="D24" s="10"/>
      <c r="E24" s="10"/>
      <c r="F24" s="10"/>
      <c r="G24" s="61"/>
      <c r="H24" s="61"/>
      <c r="I24" s="11"/>
      <c r="J24" s="8"/>
    </row>
    <row r="25" spans="2:10" ht="10.5">
      <c r="B25" s="7"/>
      <c r="C25" s="40" t="s">
        <v>5</v>
      </c>
      <c r="D25" s="10"/>
      <c r="E25" s="151"/>
      <c r="F25" s="151"/>
      <c r="G25" s="153" t="str">
        <f>'Расчет на срок &gt; 1 мес (мет.1)'!G29:H29</f>
        <v>Петрова А.А.</v>
      </c>
      <c r="H25" s="153"/>
      <c r="I25" s="11"/>
      <c r="J25" s="8"/>
    </row>
    <row r="26" spans="2:10" ht="23.25" customHeight="1">
      <c r="B26" s="7"/>
      <c r="C26" s="40"/>
      <c r="D26" s="10"/>
      <c r="E26" s="152" t="s">
        <v>9</v>
      </c>
      <c r="F26" s="152"/>
      <c r="G26" s="75"/>
      <c r="H26" s="75"/>
      <c r="I26" s="11"/>
      <c r="J26" s="8"/>
    </row>
    <row r="27" spans="2:10" ht="10.5">
      <c r="B27" s="7"/>
      <c r="C27" s="40" t="s">
        <v>6</v>
      </c>
      <c r="D27" s="10"/>
      <c r="E27" s="151"/>
      <c r="F27" s="151"/>
      <c r="G27" s="153" t="str">
        <f>'Расчет на срок &gt; 1 мес (мет.1)'!G31:H31</f>
        <v>Сидорова А.А.</v>
      </c>
      <c r="H27" s="153"/>
      <c r="I27" s="11"/>
      <c r="J27" s="8"/>
    </row>
    <row r="28" spans="2:10" ht="10.5">
      <c r="B28" s="7"/>
      <c r="C28" s="10"/>
      <c r="D28" s="10"/>
      <c r="E28" s="152" t="s">
        <v>9</v>
      </c>
      <c r="F28" s="152"/>
      <c r="G28" s="11"/>
      <c r="H28" s="11"/>
      <c r="I28" s="11"/>
      <c r="J28" s="8"/>
    </row>
    <row r="29" spans="2:10" ht="10.5">
      <c r="B29" s="7"/>
      <c r="C29" s="10"/>
      <c r="D29" s="10"/>
      <c r="E29" s="10"/>
      <c r="F29" s="10"/>
      <c r="G29" s="11"/>
      <c r="H29" s="11"/>
      <c r="I29" s="11"/>
      <c r="J29" s="8"/>
    </row>
    <row r="30" spans="2:10" ht="10.5">
      <c r="B30" s="7"/>
      <c r="C30" s="10"/>
      <c r="D30" s="10"/>
      <c r="E30" s="10"/>
      <c r="F30" s="10"/>
      <c r="G30" s="11"/>
      <c r="H30" s="11"/>
      <c r="I30" s="11"/>
      <c r="J30" s="8"/>
    </row>
    <row r="31" spans="1:50" s="22" customFormat="1" ht="10.5">
      <c r="A31" s="18"/>
      <c r="B31" s="19"/>
      <c r="C31" s="20"/>
      <c r="D31" s="20"/>
      <c r="E31" s="20"/>
      <c r="F31" s="20"/>
      <c r="G31" s="20"/>
      <c r="H31" s="20"/>
      <c r="I31" s="20"/>
      <c r="J31" s="21"/>
      <c r="L31" s="1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2:50" ht="11.25" thickBot="1">
      <c r="B32" s="24"/>
      <c r="C32" s="25"/>
      <c r="D32" s="25"/>
      <c r="E32" s="25"/>
      <c r="F32" s="25"/>
      <c r="G32" s="25"/>
      <c r="H32" s="25"/>
      <c r="I32" s="25"/>
      <c r="J32" s="26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4:50" ht="10.5">
      <c r="N33" s="27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9"/>
      <c r="AO33" s="28"/>
      <c r="AP33" s="28"/>
      <c r="AQ33" s="28"/>
      <c r="AR33" s="28"/>
      <c r="AS33" s="28"/>
      <c r="AT33" s="28"/>
      <c r="AU33" s="28"/>
      <c r="AV33" s="28"/>
      <c r="AW33" s="28"/>
      <c r="AX33" s="28"/>
    </row>
    <row r="34" spans="14:50" ht="10.5">
      <c r="N34" s="23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9"/>
      <c r="AJ34" s="29"/>
      <c r="AK34" s="29"/>
      <c r="AL34" s="29"/>
      <c r="AM34" s="29"/>
      <c r="AN34" s="29"/>
      <c r="AO34" s="28"/>
      <c r="AP34" s="28"/>
      <c r="AQ34" s="28"/>
      <c r="AR34" s="28"/>
      <c r="AS34" s="28"/>
      <c r="AT34" s="28"/>
      <c r="AU34" s="28"/>
      <c r="AV34" s="28"/>
      <c r="AW34" s="28"/>
      <c r="AX34" s="28"/>
    </row>
    <row r="35" spans="3:50" ht="10.5">
      <c r="C35" s="30"/>
      <c r="D35" s="30"/>
      <c r="E35" s="30"/>
      <c r="F35" s="30"/>
      <c r="L35" s="22"/>
      <c r="N35" s="27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9"/>
      <c r="AJ35" s="29"/>
      <c r="AK35" s="29"/>
      <c r="AL35" s="29"/>
      <c r="AM35" s="29"/>
      <c r="AN35" s="29"/>
      <c r="AO35" s="28"/>
      <c r="AP35" s="28"/>
      <c r="AQ35" s="28"/>
      <c r="AR35" s="28"/>
      <c r="AS35" s="28"/>
      <c r="AT35" s="28"/>
      <c r="AU35" s="28"/>
      <c r="AV35" s="28"/>
      <c r="AW35" s="28"/>
      <c r="AX35" s="28"/>
    </row>
    <row r="36" spans="3:50" ht="10.5">
      <c r="C36" s="30"/>
      <c r="D36" s="30"/>
      <c r="E36" s="30"/>
      <c r="F36" s="30"/>
      <c r="N36" s="27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9"/>
      <c r="AJ36" s="29"/>
      <c r="AK36" s="29"/>
      <c r="AL36" s="29"/>
      <c r="AM36" s="29"/>
      <c r="AN36" s="29"/>
      <c r="AO36" s="28"/>
      <c r="AP36" s="28"/>
      <c r="AQ36" s="28"/>
      <c r="AR36" s="28"/>
      <c r="AS36" s="28"/>
      <c r="AT36" s="28"/>
      <c r="AU36" s="28"/>
      <c r="AV36" s="28"/>
      <c r="AW36" s="28"/>
      <c r="AX36" s="28"/>
    </row>
    <row r="37" spans="3:50" ht="10.5">
      <c r="C37" s="30"/>
      <c r="D37" s="30"/>
      <c r="E37" s="30"/>
      <c r="F37" s="30"/>
      <c r="N37" s="27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9"/>
      <c r="AJ37" s="29"/>
      <c r="AK37" s="29"/>
      <c r="AL37" s="29"/>
      <c r="AM37" s="29"/>
      <c r="AN37" s="29"/>
      <c r="AO37" s="28"/>
      <c r="AP37" s="28"/>
      <c r="AQ37" s="28"/>
      <c r="AR37" s="28"/>
      <c r="AS37" s="28"/>
      <c r="AT37" s="28"/>
      <c r="AU37" s="28"/>
      <c r="AV37" s="28"/>
      <c r="AW37" s="28"/>
      <c r="AX37" s="28"/>
    </row>
    <row r="38" spans="3:50" ht="10.5">
      <c r="C38" s="30"/>
      <c r="D38" s="30"/>
      <c r="E38" s="30"/>
      <c r="F38" s="30"/>
      <c r="N38" s="27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9"/>
      <c r="AJ38" s="29"/>
      <c r="AK38" s="29"/>
      <c r="AL38" s="29"/>
      <c r="AM38" s="29"/>
      <c r="AN38" s="29"/>
      <c r="AO38" s="28"/>
      <c r="AP38" s="28"/>
      <c r="AQ38" s="28"/>
      <c r="AR38" s="28"/>
      <c r="AS38" s="28"/>
      <c r="AT38" s="28"/>
      <c r="AU38" s="28"/>
      <c r="AV38" s="28"/>
      <c r="AW38" s="28"/>
      <c r="AX38" s="28"/>
    </row>
    <row r="39" spans="3:50" ht="10.5">
      <c r="C39" s="30"/>
      <c r="D39" s="30"/>
      <c r="E39" s="30"/>
      <c r="F39" s="30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9"/>
      <c r="AJ39" s="29"/>
      <c r="AK39" s="29"/>
      <c r="AL39" s="29"/>
      <c r="AM39" s="29"/>
      <c r="AN39" s="29"/>
      <c r="AO39" s="28"/>
      <c r="AP39" s="28"/>
      <c r="AQ39" s="28"/>
      <c r="AR39" s="28"/>
      <c r="AS39" s="28"/>
      <c r="AT39" s="28"/>
      <c r="AU39" s="28"/>
      <c r="AV39" s="28"/>
      <c r="AW39" s="28"/>
      <c r="AX39" s="28"/>
    </row>
    <row r="40" spans="3:50" ht="10.5">
      <c r="C40" s="30"/>
      <c r="D40" s="30"/>
      <c r="E40" s="30"/>
      <c r="F40" s="30"/>
      <c r="N40" s="27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</row>
    <row r="41" spans="3:50" ht="10.5">
      <c r="C41" s="30"/>
      <c r="D41" s="30"/>
      <c r="E41" s="30"/>
      <c r="F41" s="30"/>
      <c r="N41" s="27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</row>
    <row r="42" spans="3:50" ht="10.5">
      <c r="C42" s="30"/>
      <c r="D42" s="30"/>
      <c r="E42" s="30"/>
      <c r="F42" s="30"/>
      <c r="N42" s="27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3:50" ht="10.5">
      <c r="C43" s="30"/>
      <c r="D43" s="30"/>
      <c r="E43" s="30"/>
      <c r="F43" s="30"/>
      <c r="N43" s="27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3:50" ht="10.5">
      <c r="C44" s="30"/>
      <c r="D44" s="30"/>
      <c r="E44" s="30"/>
      <c r="F44" s="30"/>
      <c r="N44" s="27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3:50" ht="10.5">
      <c r="C45" s="30"/>
      <c r="D45" s="30"/>
      <c r="E45" s="30"/>
      <c r="F45" s="30"/>
      <c r="N45" s="2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3:6" ht="10.5">
      <c r="C46" s="30"/>
      <c r="D46" s="30"/>
      <c r="E46" s="30"/>
      <c r="F46" s="30"/>
    </row>
  </sheetData>
  <sheetProtection/>
  <mergeCells count="21">
    <mergeCell ref="D19:F19"/>
    <mergeCell ref="G3:H3"/>
    <mergeCell ref="H5:I5"/>
    <mergeCell ref="G6:I6"/>
    <mergeCell ref="C8:I8"/>
    <mergeCell ref="C9:F9"/>
    <mergeCell ref="D21:F21"/>
    <mergeCell ref="D15:F15"/>
    <mergeCell ref="D16:F16"/>
    <mergeCell ref="D17:F17"/>
    <mergeCell ref="D18:F18"/>
    <mergeCell ref="E28:F28"/>
    <mergeCell ref="E25:F25"/>
    <mergeCell ref="C11:I11"/>
    <mergeCell ref="C12:I12"/>
    <mergeCell ref="D14:F14"/>
    <mergeCell ref="D20:F20"/>
    <mergeCell ref="G25:H25"/>
    <mergeCell ref="E26:F26"/>
    <mergeCell ref="E27:F27"/>
    <mergeCell ref="G27:H27"/>
  </mergeCells>
  <hyperlinks>
    <hyperlink ref="L4" location="Положение!A1" display="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 (Указ от 23.10.2009 № 518)"/>
    <hyperlink ref="L5" location="'Расчет на срок &gt; 1 мес (мет.1)'!A1" display="Расчет суммы арендной платы на срок месяц и более (методика 1)"/>
    <hyperlink ref="L6" location="'Расчет на срок &gt; 1 мес (мет.2)'!A1" display="Расчет суммы арендной платы на срок месяц и более (методика 2)"/>
    <hyperlink ref="L7" location="'Расчет на срок &gt; 1 мес (мет.3)'!A1" display="Расчет суммы арендной платы на срок месяц и более (методика 3)"/>
    <hyperlink ref="L8" location="'Бухгалтерская справка'!A1" display="Бухгалтерская справка о размере фактических затрат по управлению и эксплуатации"/>
    <hyperlink ref="L9" location="'Расчет на срок &lt;1 мес (мет.1)'!A1" display="Расчет суммы арендной платы на срок менее месяца (методика 1)"/>
    <hyperlink ref="L10" location="'Расчет на срок &lt;1 мес (мет.2)'!A1" display="Расчет суммы арендной платы на срок менее месяца (методика 2)"/>
    <hyperlink ref="L11" location="'Расчет на срок &lt;1 мес (мет.3)'!A1" display="Расчет суммы арендной платы на срок менее месяца (методика 3)"/>
    <hyperlink ref="L12" location="'Калькуляция 1 м-часа'!A1" display="Калькуляция стоимости 1 машино-часа управления спецмеханизмом (с топливом)"/>
    <hyperlink ref="L13" location="'Калькуляция 1 м-ч (без топлива)'!A1" display="Калькуляция стоимости 1 машино-часа управления спецмеханизмом (без топлива)"/>
    <hyperlink ref="L14" location="топливо!A1" display="Расчет затрат на топливо за 1 маш.-ч для спецтехники"/>
    <hyperlink ref="L15" location="'смазочные материалы'!A1" display="Расчет затрат на смазочные материалы за 1 маш.час для спецтехники"/>
    <hyperlink ref="L16" location="ЗП!A1" display="Расчет  затрат на заработную плату за 1 маш.-час для спецтехники"/>
    <hyperlink ref="L17" location="'расчет % ОПР'!A1" display="Расчет процента общепроизводственных расходов"/>
    <hyperlink ref="L18" location="'расчет % ОХР'!A1" display="Расчет процента общехозяйственных расходов"/>
  </hyperlinks>
  <printOptions/>
  <pageMargins left="0.7" right="0.7" top="0.75" bottom="0.75" header="0.3" footer="0.3"/>
  <pageSetup horizontalDpi="300" verticalDpi="300" orientation="portrait" paperSize="9" scale="91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X39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6.57421875" style="3" bestFit="1" customWidth="1"/>
    <col min="2" max="2" width="3.57421875" style="1" customWidth="1"/>
    <col min="3" max="3" width="5.421875" style="1" customWidth="1"/>
    <col min="4" max="4" width="10.140625" style="1" customWidth="1"/>
    <col min="5" max="5" width="9.140625" style="1" customWidth="1"/>
    <col min="6" max="6" width="6.28125" style="1" customWidth="1"/>
    <col min="7" max="7" width="12.421875" style="1" customWidth="1"/>
    <col min="8" max="8" width="16.8515625" style="1" customWidth="1"/>
    <col min="9" max="9" width="18.421875" style="1" customWidth="1"/>
    <col min="10" max="10" width="4.140625" style="1" customWidth="1"/>
    <col min="11" max="11" width="2.14062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5" customHeight="1">
      <c r="B3" s="7"/>
      <c r="C3" s="162" t="str">
        <f>'Расчет на срок &gt; 1 мес (мет.1)'!H4</f>
        <v>РДУП "Автомобильный парк № 555"</v>
      </c>
      <c r="D3" s="162"/>
      <c r="E3" s="162"/>
      <c r="F3" s="162"/>
      <c r="G3" s="162"/>
      <c r="H3" s="162"/>
      <c r="I3" s="162"/>
      <c r="J3" s="8"/>
    </row>
    <row r="4" spans="2:12" ht="15">
      <c r="B4" s="7"/>
      <c r="C4" s="33"/>
      <c r="D4" s="33"/>
      <c r="E4" s="33"/>
      <c r="F4" s="33"/>
      <c r="G4" s="33"/>
      <c r="H4" s="35"/>
      <c r="I4" s="35"/>
      <c r="J4" s="8"/>
      <c r="L4" s="66" t="s">
        <v>227</v>
      </c>
    </row>
    <row r="5" spans="2:12" ht="15">
      <c r="B5" s="7"/>
      <c r="C5" s="167" t="s">
        <v>130</v>
      </c>
      <c r="D5" s="167"/>
      <c r="E5" s="167"/>
      <c r="F5" s="167"/>
      <c r="G5" s="167"/>
      <c r="H5" s="167"/>
      <c r="I5" s="167"/>
      <c r="J5" s="8"/>
      <c r="L5" s="66" t="s">
        <v>176</v>
      </c>
    </row>
    <row r="6" spans="2:12" ht="12" customHeight="1">
      <c r="B6" s="7"/>
      <c r="C6" s="67"/>
      <c r="D6" s="67"/>
      <c r="E6" s="67"/>
      <c r="F6" s="67"/>
      <c r="G6" s="68" t="s">
        <v>131</v>
      </c>
      <c r="H6" s="73" t="str">
        <f>'Расчет на срок &gt; 1 мес (мет.3)'!G9</f>
        <v>октябрь-ноябрь 2010 г.</v>
      </c>
      <c r="I6" s="67"/>
      <c r="J6" s="8"/>
      <c r="L6" s="66" t="s">
        <v>177</v>
      </c>
    </row>
    <row r="7" spans="2:12" ht="15">
      <c r="B7" s="7"/>
      <c r="C7" s="83"/>
      <c r="D7" s="83"/>
      <c r="E7" s="83"/>
      <c r="F7" s="83"/>
      <c r="G7" s="83"/>
      <c r="H7" s="74" t="s">
        <v>119</v>
      </c>
      <c r="I7" s="83"/>
      <c r="J7" s="8"/>
      <c r="L7" s="66" t="s">
        <v>178</v>
      </c>
    </row>
    <row r="8" spans="2:12" ht="15">
      <c r="B8" s="7"/>
      <c r="C8" s="163" t="s">
        <v>132</v>
      </c>
      <c r="D8" s="163"/>
      <c r="E8" s="163"/>
      <c r="F8" s="163"/>
      <c r="G8" s="163"/>
      <c r="H8" s="163"/>
      <c r="I8" s="163"/>
      <c r="J8" s="8"/>
      <c r="L8" s="66" t="s">
        <v>182</v>
      </c>
    </row>
    <row r="9" spans="2:12" ht="15">
      <c r="B9" s="7"/>
      <c r="C9" s="164" t="str">
        <f>'Расчет на срок &gt; 1 мес (мет.3)'!C11:I11</f>
        <v>Бульдозер PR722 Litronic</v>
      </c>
      <c r="D9" s="164"/>
      <c r="E9" s="164"/>
      <c r="F9" s="164"/>
      <c r="G9" s="164"/>
      <c r="H9" s="164"/>
      <c r="I9" s="164"/>
      <c r="J9" s="8"/>
      <c r="L9" s="66" t="s">
        <v>179</v>
      </c>
    </row>
    <row r="10" spans="2:12" ht="15">
      <c r="B10" s="7"/>
      <c r="C10" s="140" t="s">
        <v>118</v>
      </c>
      <c r="D10" s="140"/>
      <c r="E10" s="140"/>
      <c r="F10" s="140"/>
      <c r="G10" s="140"/>
      <c r="H10" s="140"/>
      <c r="I10" s="140"/>
      <c r="J10" s="8"/>
      <c r="L10" s="66" t="s">
        <v>180</v>
      </c>
    </row>
    <row r="11" spans="2:12" ht="15">
      <c r="B11" s="7"/>
      <c r="C11" s="10"/>
      <c r="D11" s="10"/>
      <c r="E11" s="10"/>
      <c r="F11" s="11"/>
      <c r="G11" s="11"/>
      <c r="H11" s="11"/>
      <c r="I11" s="11"/>
      <c r="J11" s="8"/>
      <c r="L11" s="66" t="s">
        <v>181</v>
      </c>
    </row>
    <row r="12" spans="2:12" ht="15">
      <c r="B12" s="7"/>
      <c r="C12" s="12" t="s">
        <v>1</v>
      </c>
      <c r="D12" s="168" t="s">
        <v>13</v>
      </c>
      <c r="E12" s="168"/>
      <c r="F12" s="168"/>
      <c r="G12" s="168"/>
      <c r="H12" s="165" t="s">
        <v>2</v>
      </c>
      <c r="I12" s="166"/>
      <c r="J12" s="8"/>
      <c r="L12" s="66" t="s">
        <v>183</v>
      </c>
    </row>
    <row r="13" spans="2:12" ht="16.5" customHeight="1">
      <c r="B13" s="7"/>
      <c r="C13" s="14">
        <v>1</v>
      </c>
      <c r="D13" s="156" t="s">
        <v>94</v>
      </c>
      <c r="E13" s="157"/>
      <c r="F13" s="157"/>
      <c r="G13" s="158"/>
      <c r="H13" s="159">
        <v>9500000</v>
      </c>
      <c r="I13" s="160"/>
      <c r="J13" s="8"/>
      <c r="K13" s="65"/>
      <c r="L13" s="66" t="s">
        <v>184</v>
      </c>
    </row>
    <row r="14" spans="2:12" ht="16.5" customHeight="1">
      <c r="B14" s="7"/>
      <c r="C14" s="14">
        <v>2</v>
      </c>
      <c r="D14" s="156" t="s">
        <v>93</v>
      </c>
      <c r="E14" s="157"/>
      <c r="F14" s="157" t="s">
        <v>93</v>
      </c>
      <c r="G14" s="158"/>
      <c r="H14" s="159">
        <v>700000</v>
      </c>
      <c r="I14" s="160"/>
      <c r="J14" s="8"/>
      <c r="K14" s="65"/>
      <c r="L14" s="66" t="s">
        <v>185</v>
      </c>
    </row>
    <row r="15" spans="2:12" ht="16.5" customHeight="1">
      <c r="B15" s="7"/>
      <c r="C15" s="14">
        <v>3</v>
      </c>
      <c r="D15" s="156" t="s">
        <v>133</v>
      </c>
      <c r="E15" s="157"/>
      <c r="F15" s="157" t="s">
        <v>133</v>
      </c>
      <c r="G15" s="158"/>
      <c r="H15" s="159">
        <v>4500000</v>
      </c>
      <c r="I15" s="160"/>
      <c r="J15" s="8"/>
      <c r="K15" s="65"/>
      <c r="L15" s="66" t="s">
        <v>186</v>
      </c>
    </row>
    <row r="16" spans="1:12" ht="16.5" customHeight="1">
      <c r="A16" s="3">
        <v>0.342</v>
      </c>
      <c r="B16" s="7"/>
      <c r="C16" s="14">
        <v>4</v>
      </c>
      <c r="D16" s="156" t="s">
        <v>134</v>
      </c>
      <c r="E16" s="157"/>
      <c r="F16" s="157" t="s">
        <v>134</v>
      </c>
      <c r="G16" s="158"/>
      <c r="H16" s="159">
        <v>1557000</v>
      </c>
      <c r="I16" s="160"/>
      <c r="J16" s="8"/>
      <c r="K16" s="65"/>
      <c r="L16" s="66" t="s">
        <v>188</v>
      </c>
    </row>
    <row r="17" spans="2:12" ht="16.5" customHeight="1">
      <c r="B17" s="7"/>
      <c r="C17" s="14">
        <v>5</v>
      </c>
      <c r="D17" s="156" t="s">
        <v>95</v>
      </c>
      <c r="E17" s="157"/>
      <c r="F17" s="157" t="s">
        <v>95</v>
      </c>
      <c r="G17" s="158"/>
      <c r="H17" s="159">
        <v>150000</v>
      </c>
      <c r="I17" s="160"/>
      <c r="J17" s="8"/>
      <c r="K17" s="65"/>
      <c r="L17" s="66" t="s">
        <v>74</v>
      </c>
    </row>
    <row r="18" spans="2:12" ht="16.5" customHeight="1">
      <c r="B18" s="7"/>
      <c r="C18" s="14">
        <v>6</v>
      </c>
      <c r="D18" s="156" t="s">
        <v>135</v>
      </c>
      <c r="E18" s="157"/>
      <c r="F18" s="157" t="s">
        <v>135</v>
      </c>
      <c r="G18" s="158"/>
      <c r="H18" s="159">
        <v>5600000</v>
      </c>
      <c r="I18" s="160"/>
      <c r="J18" s="8"/>
      <c r="K18" s="65"/>
      <c r="L18" s="66" t="s">
        <v>90</v>
      </c>
    </row>
    <row r="19" spans="2:11" ht="16.5" customHeight="1">
      <c r="B19" s="7"/>
      <c r="C19" s="14">
        <v>7</v>
      </c>
      <c r="D19" s="156" t="s">
        <v>19</v>
      </c>
      <c r="E19" s="157"/>
      <c r="F19" s="157" t="s">
        <v>19</v>
      </c>
      <c r="G19" s="158"/>
      <c r="H19" s="159">
        <v>2300000</v>
      </c>
      <c r="I19" s="160"/>
      <c r="J19" s="8"/>
      <c r="K19" s="65"/>
    </row>
    <row r="20" spans="2:11" ht="16.5" customHeight="1">
      <c r="B20" s="7"/>
      <c r="C20" s="14">
        <v>8</v>
      </c>
      <c r="D20" s="156" t="s">
        <v>136</v>
      </c>
      <c r="E20" s="157"/>
      <c r="F20" s="157" t="s">
        <v>136</v>
      </c>
      <c r="G20" s="158"/>
      <c r="H20" s="169">
        <f>SUM(H13:I19)</f>
        <v>24307000</v>
      </c>
      <c r="I20" s="170">
        <f>SUM(I13:I19)</f>
        <v>0</v>
      </c>
      <c r="J20" s="8"/>
      <c r="K20" s="65"/>
    </row>
    <row r="21" spans="2:10" ht="10.5">
      <c r="B21" s="7"/>
      <c r="C21" s="10"/>
      <c r="D21" s="10"/>
      <c r="E21" s="10"/>
      <c r="F21" s="11"/>
      <c r="G21" s="11"/>
      <c r="H21" s="11"/>
      <c r="I21" s="11"/>
      <c r="J21" s="8"/>
    </row>
    <row r="22" spans="2:12" ht="15">
      <c r="B22" s="7"/>
      <c r="C22" s="10"/>
      <c r="D22" s="10"/>
      <c r="E22" s="10"/>
      <c r="F22" s="11"/>
      <c r="G22" s="11"/>
      <c r="H22" s="11"/>
      <c r="I22" s="11"/>
      <c r="J22" s="8"/>
      <c r="L22" s="66"/>
    </row>
    <row r="23" spans="2:10" ht="10.5">
      <c r="B23" s="7"/>
      <c r="C23" s="10" t="s">
        <v>5</v>
      </c>
      <c r="D23" s="10"/>
      <c r="E23" s="151"/>
      <c r="F23" s="151"/>
      <c r="G23" s="161" t="str">
        <f>'Расчет на срок &gt; 1 мес (мет.3)'!G25:H25</f>
        <v>Петрова А.А.</v>
      </c>
      <c r="H23" s="161"/>
      <c r="I23" s="11"/>
      <c r="J23" s="8"/>
    </row>
    <row r="24" spans="2:50" ht="36" customHeight="1" thickBot="1">
      <c r="B24" s="24"/>
      <c r="C24" s="25"/>
      <c r="D24" s="25"/>
      <c r="E24" s="25"/>
      <c r="F24" s="25"/>
      <c r="G24" s="25"/>
      <c r="H24" s="25"/>
      <c r="I24" s="25"/>
      <c r="J24" s="26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4:50" ht="10.5">
      <c r="N25" s="27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9"/>
      <c r="AO25" s="28"/>
      <c r="AP25" s="28"/>
      <c r="AQ25" s="28"/>
      <c r="AR25" s="28"/>
      <c r="AS25" s="28"/>
      <c r="AT25" s="28"/>
      <c r="AU25" s="28"/>
      <c r="AV25" s="28"/>
      <c r="AW25" s="28"/>
      <c r="AX25" s="28"/>
    </row>
    <row r="26" spans="14:50" ht="10.5">
      <c r="N26" s="23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9"/>
      <c r="AJ26" s="29"/>
      <c r="AK26" s="29"/>
      <c r="AL26" s="29"/>
      <c r="AM26" s="29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</row>
    <row r="27" spans="3:50" ht="10.5">
      <c r="C27" s="30"/>
      <c r="D27" s="30"/>
      <c r="N27" s="27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9"/>
      <c r="AJ27" s="29"/>
      <c r="AK27" s="29"/>
      <c r="AL27" s="29"/>
      <c r="AM27" s="29"/>
      <c r="AN27" s="29"/>
      <c r="AO27" s="28"/>
      <c r="AP27" s="28"/>
      <c r="AQ27" s="28"/>
      <c r="AR27" s="28"/>
      <c r="AS27" s="28"/>
      <c r="AT27" s="28"/>
      <c r="AU27" s="28"/>
      <c r="AV27" s="28"/>
      <c r="AW27" s="28"/>
      <c r="AX27" s="28"/>
    </row>
    <row r="28" spans="3:50" ht="10.5">
      <c r="C28" s="30"/>
      <c r="D28" s="30"/>
      <c r="N28" s="27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9"/>
      <c r="AJ28" s="29"/>
      <c r="AK28" s="29"/>
      <c r="AL28" s="29"/>
      <c r="AM28" s="29"/>
      <c r="AN28" s="29"/>
      <c r="AO28" s="28"/>
      <c r="AP28" s="28"/>
      <c r="AQ28" s="28"/>
      <c r="AR28" s="28"/>
      <c r="AS28" s="28"/>
      <c r="AT28" s="28"/>
      <c r="AU28" s="28"/>
      <c r="AV28" s="28"/>
      <c r="AW28" s="28"/>
      <c r="AX28" s="28"/>
    </row>
    <row r="29" spans="3:50" ht="10.5">
      <c r="C29" s="30"/>
      <c r="D29" s="30"/>
      <c r="N29" s="27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9"/>
      <c r="AJ29" s="29"/>
      <c r="AK29" s="29"/>
      <c r="AL29" s="29"/>
      <c r="AM29" s="29"/>
      <c r="AN29" s="29"/>
      <c r="AO29" s="28"/>
      <c r="AP29" s="28"/>
      <c r="AQ29" s="28"/>
      <c r="AR29" s="28"/>
      <c r="AS29" s="28"/>
      <c r="AT29" s="28"/>
      <c r="AU29" s="28"/>
      <c r="AV29" s="28"/>
      <c r="AW29" s="28"/>
      <c r="AX29" s="28"/>
    </row>
    <row r="30" spans="3:50" ht="10.5">
      <c r="C30" s="30"/>
      <c r="D30" s="30"/>
      <c r="N30" s="27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9"/>
      <c r="AJ30" s="29"/>
      <c r="AK30" s="29"/>
      <c r="AL30" s="29"/>
      <c r="AM30" s="29"/>
      <c r="AN30" s="29"/>
      <c r="AO30" s="28"/>
      <c r="AP30" s="28"/>
      <c r="AQ30" s="28"/>
      <c r="AR30" s="28"/>
      <c r="AS30" s="28"/>
      <c r="AT30" s="28"/>
      <c r="AU30" s="28"/>
      <c r="AV30" s="28"/>
      <c r="AW30" s="28"/>
      <c r="AX30" s="28"/>
    </row>
    <row r="31" spans="3:50" ht="10.5">
      <c r="C31" s="30"/>
      <c r="D31" s="30"/>
      <c r="N31" s="27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9"/>
      <c r="AJ31" s="29"/>
      <c r="AK31" s="29"/>
      <c r="AL31" s="29"/>
      <c r="AM31" s="29"/>
      <c r="AN31" s="29"/>
      <c r="AO31" s="28"/>
      <c r="AP31" s="28"/>
      <c r="AQ31" s="28"/>
      <c r="AR31" s="28"/>
      <c r="AS31" s="28"/>
      <c r="AT31" s="28"/>
      <c r="AU31" s="28"/>
      <c r="AV31" s="28"/>
      <c r="AW31" s="28"/>
      <c r="AX31" s="28"/>
    </row>
    <row r="32" spans="3:50" ht="10.5">
      <c r="C32" s="30"/>
      <c r="D32" s="30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9"/>
      <c r="AJ32" s="29"/>
      <c r="AK32" s="29"/>
      <c r="AL32" s="29"/>
      <c r="AM32" s="29"/>
      <c r="AN32" s="29"/>
      <c r="AO32" s="28"/>
      <c r="AP32" s="28"/>
      <c r="AQ32" s="28"/>
      <c r="AR32" s="28"/>
      <c r="AS32" s="28"/>
      <c r="AT32" s="28"/>
      <c r="AU32" s="28"/>
      <c r="AV32" s="28"/>
      <c r="AW32" s="28"/>
      <c r="AX32" s="28"/>
    </row>
    <row r="33" spans="3:50" ht="10.5">
      <c r="C33" s="30"/>
      <c r="D33" s="30"/>
      <c r="N33" s="27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</row>
    <row r="34" spans="3:50" ht="10.5">
      <c r="C34" s="30"/>
      <c r="D34" s="30"/>
      <c r="N34" s="27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</row>
    <row r="35" spans="3:50" ht="10.5">
      <c r="C35" s="30"/>
      <c r="D35" s="30"/>
      <c r="L35" s="22"/>
      <c r="N35" s="27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</row>
    <row r="36" spans="3:50" ht="10.5">
      <c r="C36" s="30"/>
      <c r="D36" s="30"/>
      <c r="N36" s="27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</row>
    <row r="37" spans="3:50" ht="10.5">
      <c r="C37" s="30"/>
      <c r="D37" s="30"/>
      <c r="N37" s="27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</row>
    <row r="38" spans="3:50" ht="10.5">
      <c r="C38" s="30"/>
      <c r="D38" s="30"/>
      <c r="N38" s="27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</row>
    <row r="39" spans="3:4" ht="10.5">
      <c r="C39" s="30"/>
      <c r="D39" s="30"/>
    </row>
  </sheetData>
  <sheetProtection/>
  <mergeCells count="25">
    <mergeCell ref="H19:I19"/>
    <mergeCell ref="H20:I20"/>
    <mergeCell ref="H15:I15"/>
    <mergeCell ref="H16:I16"/>
    <mergeCell ref="H17:I17"/>
    <mergeCell ref="H18:I18"/>
    <mergeCell ref="C3:I3"/>
    <mergeCell ref="C8:I8"/>
    <mergeCell ref="C9:I9"/>
    <mergeCell ref="C10:I10"/>
    <mergeCell ref="H13:I13"/>
    <mergeCell ref="H12:I12"/>
    <mergeCell ref="C5:I5"/>
    <mergeCell ref="D12:G12"/>
    <mergeCell ref="D13:G13"/>
    <mergeCell ref="D14:G14"/>
    <mergeCell ref="H14:I14"/>
    <mergeCell ref="G23:H23"/>
    <mergeCell ref="E23:F23"/>
    <mergeCell ref="D15:G15"/>
    <mergeCell ref="D16:G16"/>
    <mergeCell ref="D17:G17"/>
    <mergeCell ref="D18:G18"/>
    <mergeCell ref="D19:G19"/>
    <mergeCell ref="D20:G20"/>
  </mergeCells>
  <hyperlinks>
    <hyperlink ref="L4" location="Положение!A1" display="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 (Указ от 23.10.2009 № 518)"/>
    <hyperlink ref="L5" location="'Расчет на срок &gt; 1 мес (мет.1)'!A1" display="Расчет суммы арендной платы на срок месяц и более (методика 1)"/>
    <hyperlink ref="L6" location="'Расчет на срок &gt; 1 мес (мет.2)'!A1" display="Расчет суммы арендной платы на срок месяц и более (методика 2)"/>
    <hyperlink ref="L7" location="'Расчет на срок &gt; 1 мес (мет.3)'!A1" display="Расчет суммы арендной платы на срок месяц и более (методика 3)"/>
    <hyperlink ref="L8" location="'Бухгалтерская справка'!A1" display="Бухгалтерская справка о размере фактических затрат по управлению и эксплуатации"/>
    <hyperlink ref="L9" location="'Расчет на срок &lt;1 мес (мет.1)'!A1" display="Расчет суммы арендной платы на срок менее месяца (методика 1)"/>
    <hyperlink ref="L10" location="'Расчет на срок &lt;1 мес (мет.2)'!A1" display="Расчет суммы арендной платы на срок менее месяца (методика 2)"/>
    <hyperlink ref="L11" location="'Расчет на срок &lt;1 мес (мет.3)'!A1" display="Расчет суммы арендной платы на срок менее месяца (методика 3)"/>
    <hyperlink ref="L12" location="'Калькуляция 1 м-часа'!A1" display="Калькуляция стоимости 1 машино-часа управления спецмеханизмом (с топливом)"/>
    <hyperlink ref="L13" location="'Калькуляция 1 м-ч (без топлива)'!A1" display="Калькуляция стоимости 1 машино-часа управления спецмеханизмом (без топлива)"/>
    <hyperlink ref="L14" location="топливо!A1" display="Расчет затрат на топливо за 1 маш.-ч для спецтехники"/>
    <hyperlink ref="L15" location="'смазочные материалы'!A1" display="Расчет затрат на смазочные материалы за 1 маш.час для спецтехники"/>
    <hyperlink ref="L16" location="ЗП!A1" display="Расчет  затрат на заработную плату за 1 маш.-час для спецтехники"/>
    <hyperlink ref="L17" location="'расчет % ОПР'!A1" display="Расчет процента общепроизводственных расходов"/>
    <hyperlink ref="L18" location="'расчет % ОХР'!A1" display="Расчет процента общехозяйственных расходов"/>
  </hyperlinks>
  <printOptions/>
  <pageMargins left="0.7" right="0.7" top="0.75" bottom="0.75" header="0.3" footer="0.3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X50"/>
  <sheetViews>
    <sheetView workbookViewId="0" topLeftCell="A1">
      <selection activeCell="L1" sqref="L1:L16384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1.421875" style="1" customWidth="1"/>
    <col min="5" max="5" width="8.8515625" style="1" customWidth="1"/>
    <col min="6" max="6" width="9.8515625" style="1" customWidth="1"/>
    <col min="7" max="7" width="10.7109375" style="1" customWidth="1"/>
    <col min="8" max="8" width="10.28125" style="1" customWidth="1"/>
    <col min="9" max="9" width="16.00390625" style="1" customWidth="1"/>
    <col min="10" max="10" width="2.8515625" style="1" customWidth="1"/>
    <col min="11" max="11" width="2.14062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5" customHeight="1">
      <c r="B3" s="7"/>
      <c r="C3" s="33"/>
      <c r="D3" s="33"/>
      <c r="E3" s="33"/>
      <c r="F3" s="33"/>
      <c r="G3" s="139" t="s">
        <v>7</v>
      </c>
      <c r="H3" s="139"/>
      <c r="I3" s="33"/>
      <c r="J3" s="8"/>
    </row>
    <row r="4" spans="2:12" ht="15">
      <c r="B4" s="7"/>
      <c r="C4" s="33"/>
      <c r="D4" s="33"/>
      <c r="E4" s="33"/>
      <c r="F4" s="33"/>
      <c r="G4" s="82" t="str">
        <f>'Расчет на срок &gt; 1 мес (мет.3)'!G4</f>
        <v>директор </v>
      </c>
      <c r="H4" s="59" t="str">
        <f>'Расчет на срок &gt; 1 мес (мет.2)'!H4</f>
        <v>РДУП "Автомобильный парк № 555"</v>
      </c>
      <c r="I4" s="33"/>
      <c r="J4" s="8"/>
      <c r="L4" s="66" t="s">
        <v>227</v>
      </c>
    </row>
    <row r="5" spans="2:12" ht="15">
      <c r="B5" s="7"/>
      <c r="C5" s="33"/>
      <c r="D5" s="33"/>
      <c r="E5" s="33"/>
      <c r="F5" s="33"/>
      <c r="G5" s="72"/>
      <c r="H5" s="154" t="str">
        <f>'Расчет на срок &gt; 1 мес (мет.3)'!H5:I5</f>
        <v>Иванов С.Т.</v>
      </c>
      <c r="I5" s="154"/>
      <c r="J5" s="51"/>
      <c r="L5" s="66" t="s">
        <v>176</v>
      </c>
    </row>
    <row r="6" spans="2:12" ht="20.25" customHeight="1">
      <c r="B6" s="7"/>
      <c r="C6" s="33"/>
      <c r="D6" s="33"/>
      <c r="E6" s="33"/>
      <c r="F6" s="33"/>
      <c r="G6" s="154" t="str">
        <f>'Расчет на срок &gt; 1 мес (мет.3)'!G6:I6</f>
        <v>"_____" ______________ 20___ г.</v>
      </c>
      <c r="H6" s="154"/>
      <c r="I6" s="154"/>
      <c r="J6" s="51"/>
      <c r="L6" s="66" t="s">
        <v>177</v>
      </c>
    </row>
    <row r="7" spans="2:12" ht="15">
      <c r="B7" s="7"/>
      <c r="C7" s="33"/>
      <c r="D7" s="33"/>
      <c r="E7" s="33"/>
      <c r="F7" s="33"/>
      <c r="G7" s="33"/>
      <c r="H7" s="35"/>
      <c r="I7" s="35"/>
      <c r="J7" s="8"/>
      <c r="L7" s="66" t="s">
        <v>178</v>
      </c>
    </row>
    <row r="8" spans="2:12" ht="15">
      <c r="B8" s="7"/>
      <c r="C8" s="141" t="s">
        <v>27</v>
      </c>
      <c r="D8" s="141"/>
      <c r="E8" s="141"/>
      <c r="F8" s="141"/>
      <c r="G8" s="141"/>
      <c r="H8" s="141"/>
      <c r="I8" s="141"/>
      <c r="J8" s="8"/>
      <c r="L8" s="66" t="s">
        <v>182</v>
      </c>
    </row>
    <row r="9" spans="2:12" ht="15">
      <c r="B9" s="7"/>
      <c r="C9" s="147" t="s">
        <v>97</v>
      </c>
      <c r="D9" s="147"/>
      <c r="E9" s="147"/>
      <c r="F9" s="147"/>
      <c r="G9" s="84">
        <v>2</v>
      </c>
      <c r="H9" s="76" t="s">
        <v>137</v>
      </c>
      <c r="I9" s="86" t="s">
        <v>138</v>
      </c>
      <c r="J9" s="8"/>
      <c r="L9" s="66" t="s">
        <v>179</v>
      </c>
    </row>
    <row r="10" spans="2:12" ht="13.5" customHeight="1">
      <c r="B10" s="7"/>
      <c r="C10" s="68"/>
      <c r="D10" s="68"/>
      <c r="E10" s="68"/>
      <c r="F10" s="68"/>
      <c r="G10" s="74" t="s">
        <v>139</v>
      </c>
      <c r="H10" s="67"/>
      <c r="I10" s="67"/>
      <c r="J10" s="8"/>
      <c r="L10" s="66" t="s">
        <v>180</v>
      </c>
    </row>
    <row r="11" spans="2:12" ht="15" customHeight="1">
      <c r="B11" s="7"/>
      <c r="C11" s="155" t="str">
        <f>'Расчет на срок &gt; 1 мес (мет.3)'!C11:I11</f>
        <v>Бульдозер PR722 Litronic</v>
      </c>
      <c r="D11" s="155"/>
      <c r="E11" s="155"/>
      <c r="F11" s="155"/>
      <c r="G11" s="155"/>
      <c r="H11" s="155"/>
      <c r="I11" s="155"/>
      <c r="J11" s="8"/>
      <c r="L11" s="66" t="s">
        <v>181</v>
      </c>
    </row>
    <row r="12" spans="2:12" ht="15">
      <c r="B12" s="7"/>
      <c r="C12" s="140" t="s">
        <v>118</v>
      </c>
      <c r="D12" s="140"/>
      <c r="E12" s="140"/>
      <c r="F12" s="140"/>
      <c r="G12" s="140"/>
      <c r="H12" s="140"/>
      <c r="I12" s="140"/>
      <c r="J12" s="8"/>
      <c r="L12" s="66" t="s">
        <v>183</v>
      </c>
    </row>
    <row r="13" spans="2:12" ht="15">
      <c r="B13" s="7"/>
      <c r="C13" s="10"/>
      <c r="D13" s="10"/>
      <c r="E13" s="10"/>
      <c r="F13" s="10"/>
      <c r="G13" s="11"/>
      <c r="H13" s="11"/>
      <c r="I13" s="11"/>
      <c r="J13" s="8"/>
      <c r="L13" s="66" t="s">
        <v>184</v>
      </c>
    </row>
    <row r="14" spans="2:12" ht="24" customHeight="1">
      <c r="B14" s="7"/>
      <c r="C14" s="12" t="s">
        <v>1</v>
      </c>
      <c r="D14" s="148" t="s">
        <v>13</v>
      </c>
      <c r="E14" s="149"/>
      <c r="F14" s="150"/>
      <c r="G14" s="12" t="s">
        <v>99</v>
      </c>
      <c r="H14" s="13" t="s">
        <v>98</v>
      </c>
      <c r="I14" s="13" t="s">
        <v>125</v>
      </c>
      <c r="J14" s="8"/>
      <c r="L14" s="66" t="s">
        <v>185</v>
      </c>
    </row>
    <row r="15" spans="2:12" ht="31.5" customHeight="1">
      <c r="B15" s="7"/>
      <c r="C15" s="14">
        <v>1</v>
      </c>
      <c r="D15" s="144" t="s">
        <v>100</v>
      </c>
      <c r="E15" s="145"/>
      <c r="F15" s="146"/>
      <c r="G15" s="14" t="s">
        <v>110</v>
      </c>
      <c r="H15" s="14" t="s">
        <v>36</v>
      </c>
      <c r="I15" s="16">
        <f>'Расчет на срок &gt; 1 мес (мет.1)'!I16</f>
        <v>15000000</v>
      </c>
      <c r="J15" s="8"/>
      <c r="K15" s="65"/>
      <c r="L15" s="66" t="s">
        <v>186</v>
      </c>
    </row>
    <row r="16" spans="2:12" ht="23.25" customHeight="1">
      <c r="B16" s="7"/>
      <c r="C16" s="14">
        <v>2</v>
      </c>
      <c r="D16" s="144" t="s">
        <v>101</v>
      </c>
      <c r="E16" s="145"/>
      <c r="F16" s="146"/>
      <c r="G16" s="14" t="s">
        <v>111</v>
      </c>
      <c r="H16" s="14"/>
      <c r="I16" s="85">
        <f>'Расчет на срок &gt; 1 мес (мет.1)'!I17</f>
        <v>1.0845</v>
      </c>
      <c r="J16" s="8"/>
      <c r="K16" s="65"/>
      <c r="L16" s="66" t="s">
        <v>188</v>
      </c>
    </row>
    <row r="17" spans="2:12" ht="15">
      <c r="B17" s="7"/>
      <c r="C17" s="14">
        <v>3</v>
      </c>
      <c r="D17" s="144" t="s">
        <v>102</v>
      </c>
      <c r="E17" s="145"/>
      <c r="F17" s="146"/>
      <c r="G17" s="14" t="s">
        <v>117</v>
      </c>
      <c r="H17" s="14"/>
      <c r="I17" s="63">
        <f>'Расчет на срок &gt; 1 мес (мет.1)'!I18</f>
        <v>1.1</v>
      </c>
      <c r="J17" s="8"/>
      <c r="K17" s="65"/>
      <c r="L17" s="66" t="s">
        <v>74</v>
      </c>
    </row>
    <row r="18" spans="2:12" ht="10.5" customHeight="1">
      <c r="B18" s="7"/>
      <c r="C18" s="14">
        <v>4</v>
      </c>
      <c r="D18" s="144" t="s">
        <v>122</v>
      </c>
      <c r="E18" s="145"/>
      <c r="F18" s="146"/>
      <c r="G18" s="14" t="s">
        <v>108</v>
      </c>
      <c r="H18" s="14" t="s">
        <v>37</v>
      </c>
      <c r="I18" s="79">
        <f>'Расчет на срок &gt; 1 мес (мет.1)'!I19</f>
        <v>0.2</v>
      </c>
      <c r="J18" s="8"/>
      <c r="K18" s="65"/>
      <c r="L18" s="66" t="s">
        <v>90</v>
      </c>
    </row>
    <row r="19" spans="2:11" ht="10.5">
      <c r="B19" s="7"/>
      <c r="C19" s="14">
        <v>5</v>
      </c>
      <c r="D19" s="144" t="s">
        <v>123</v>
      </c>
      <c r="E19" s="145"/>
      <c r="F19" s="146"/>
      <c r="G19" s="14"/>
      <c r="H19" s="14" t="s">
        <v>36</v>
      </c>
      <c r="I19" s="16">
        <f>ROUND((I15*I16*I17)/12*I18,0)</f>
        <v>298238</v>
      </c>
      <c r="J19" s="8"/>
      <c r="K19" s="65"/>
    </row>
    <row r="20" spans="2:11" ht="10.5">
      <c r="B20" s="7"/>
      <c r="C20" s="14">
        <v>6</v>
      </c>
      <c r="D20" s="144" t="s">
        <v>103</v>
      </c>
      <c r="E20" s="145"/>
      <c r="F20" s="146"/>
      <c r="G20" s="14" t="s">
        <v>112</v>
      </c>
      <c r="H20" s="14" t="s">
        <v>36</v>
      </c>
      <c r="I20" s="16">
        <f>ROUND((I15*I16*I17)/12+I19,0)</f>
        <v>1789426</v>
      </c>
      <c r="J20" s="8"/>
      <c r="K20" s="65"/>
    </row>
    <row r="21" spans="2:11" ht="24" customHeight="1">
      <c r="B21" s="7"/>
      <c r="C21" s="14">
        <v>7</v>
      </c>
      <c r="D21" s="144" t="s">
        <v>104</v>
      </c>
      <c r="E21" s="145"/>
      <c r="F21" s="146"/>
      <c r="G21" s="14" t="s">
        <v>113</v>
      </c>
      <c r="H21" s="14" t="s">
        <v>36</v>
      </c>
      <c r="I21" s="16">
        <f>'Расчет на срок &gt; 1 мес (мет.1)'!I22</f>
        <v>8700000</v>
      </c>
      <c r="J21" s="8"/>
      <c r="K21" s="65"/>
    </row>
    <row r="22" spans="2:12" ht="15">
      <c r="B22" s="7"/>
      <c r="C22" s="14">
        <v>8</v>
      </c>
      <c r="D22" s="144" t="s">
        <v>140</v>
      </c>
      <c r="E22" s="145"/>
      <c r="F22" s="146"/>
      <c r="G22" s="14" t="s">
        <v>109</v>
      </c>
      <c r="H22" s="14" t="s">
        <v>141</v>
      </c>
      <c r="I22" s="80">
        <v>170.8</v>
      </c>
      <c r="J22" s="8"/>
      <c r="K22" s="65"/>
      <c r="L22" s="66"/>
    </row>
    <row r="23" spans="2:11" ht="10.5">
      <c r="B23" s="7"/>
      <c r="C23" s="14">
        <v>9</v>
      </c>
      <c r="D23" s="144" t="s">
        <v>106</v>
      </c>
      <c r="E23" s="145"/>
      <c r="F23" s="146"/>
      <c r="G23" s="14" t="s">
        <v>114</v>
      </c>
      <c r="H23" s="14" t="s">
        <v>36</v>
      </c>
      <c r="I23" s="16">
        <f>IF(I42="нет",0,I20/I22*G9)</f>
        <v>0</v>
      </c>
      <c r="J23" s="8"/>
      <c r="K23" s="65"/>
    </row>
    <row r="24" spans="2:11" ht="10.5">
      <c r="B24" s="7"/>
      <c r="C24" s="14">
        <v>10</v>
      </c>
      <c r="D24" s="144" t="s">
        <v>116</v>
      </c>
      <c r="E24" s="145"/>
      <c r="F24" s="146"/>
      <c r="G24" s="14"/>
      <c r="H24" s="14" t="s">
        <v>36</v>
      </c>
      <c r="I24" s="16">
        <f>ROUND((I23*I18)/(1+I18),0)</f>
        <v>0</v>
      </c>
      <c r="J24" s="8"/>
      <c r="K24" s="65"/>
    </row>
    <row r="25" spans="2:10" ht="10.5">
      <c r="B25" s="7"/>
      <c r="C25" s="10"/>
      <c r="D25" s="10"/>
      <c r="E25" s="10"/>
      <c r="F25" s="10"/>
      <c r="G25" s="11"/>
      <c r="H25" s="11"/>
      <c r="I25" s="11"/>
      <c r="J25" s="8"/>
    </row>
    <row r="26" spans="2:10" ht="10.5">
      <c r="B26" s="7"/>
      <c r="C26" s="10"/>
      <c r="D26" s="10"/>
      <c r="E26" s="10"/>
      <c r="F26" s="10"/>
      <c r="G26" s="11"/>
      <c r="H26" s="11"/>
      <c r="I26" s="11"/>
      <c r="J26" s="8"/>
    </row>
    <row r="27" spans="2:10" ht="10.5">
      <c r="B27" s="7"/>
      <c r="C27" s="10"/>
      <c r="D27" s="10"/>
      <c r="E27" s="10"/>
      <c r="F27" s="10"/>
      <c r="G27" s="11"/>
      <c r="H27" s="11"/>
      <c r="I27" s="11"/>
      <c r="J27" s="8"/>
    </row>
    <row r="28" spans="2:10" ht="10.5">
      <c r="B28" s="7"/>
      <c r="C28" s="10" t="s">
        <v>5</v>
      </c>
      <c r="D28" s="10"/>
      <c r="E28" s="151"/>
      <c r="F28" s="151"/>
      <c r="G28" s="153" t="str">
        <f>'Расчет на срок &gt; 1 мес (мет.1)'!G29:H29</f>
        <v>Петрова А.А.</v>
      </c>
      <c r="H28" s="153"/>
      <c r="I28" s="11"/>
      <c r="J28" s="8"/>
    </row>
    <row r="29" spans="2:10" ht="23.25" customHeight="1">
      <c r="B29" s="7"/>
      <c r="C29" s="10"/>
      <c r="D29" s="10"/>
      <c r="E29" s="152" t="s">
        <v>9</v>
      </c>
      <c r="F29" s="152"/>
      <c r="G29" s="71"/>
      <c r="H29" s="71"/>
      <c r="I29" s="11"/>
      <c r="J29" s="8"/>
    </row>
    <row r="30" spans="2:10" ht="10.5">
      <c r="B30" s="7"/>
      <c r="C30" s="10" t="s">
        <v>6</v>
      </c>
      <c r="D30" s="10"/>
      <c r="E30" s="151"/>
      <c r="F30" s="151"/>
      <c r="G30" s="153" t="str">
        <f>'Расчет на срок &gt; 1 мес (мет.2)'!G28:H28</f>
        <v>Сидорова А.А.</v>
      </c>
      <c r="H30" s="153"/>
      <c r="I30" s="11"/>
      <c r="J30" s="8"/>
    </row>
    <row r="31" spans="2:10" ht="10.5">
      <c r="B31" s="7"/>
      <c r="C31" s="10"/>
      <c r="D31" s="10"/>
      <c r="E31" s="152" t="s">
        <v>9</v>
      </c>
      <c r="F31" s="152"/>
      <c r="G31" s="11"/>
      <c r="H31" s="11"/>
      <c r="I31" s="11"/>
      <c r="J31" s="8"/>
    </row>
    <row r="32" spans="2:10" ht="10.5">
      <c r="B32" s="7"/>
      <c r="C32" s="10"/>
      <c r="D32" s="10"/>
      <c r="E32" s="10"/>
      <c r="F32" s="10"/>
      <c r="G32" s="11"/>
      <c r="H32" s="11"/>
      <c r="I32" s="11"/>
      <c r="J32" s="8"/>
    </row>
    <row r="33" spans="2:10" ht="10.5">
      <c r="B33" s="7"/>
      <c r="C33" s="10"/>
      <c r="D33" s="10"/>
      <c r="E33" s="10"/>
      <c r="F33" s="10"/>
      <c r="G33" s="11"/>
      <c r="H33" s="11"/>
      <c r="I33" s="11"/>
      <c r="J33" s="8"/>
    </row>
    <row r="34" spans="1:50" s="22" customFormat="1" ht="10.5">
      <c r="A34" s="18"/>
      <c r="B34" s="19"/>
      <c r="C34" s="20"/>
      <c r="D34" s="20"/>
      <c r="E34" s="20"/>
      <c r="F34" s="20"/>
      <c r="G34" s="20"/>
      <c r="H34" s="20"/>
      <c r="I34" s="20"/>
      <c r="J34" s="21"/>
      <c r="L34" s="1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2:50" ht="11.25" thickBot="1">
      <c r="B35" s="24"/>
      <c r="C35" s="25"/>
      <c r="D35" s="25"/>
      <c r="E35" s="25"/>
      <c r="F35" s="25"/>
      <c r="G35" s="25"/>
      <c r="H35" s="25"/>
      <c r="I35" s="25"/>
      <c r="J35" s="26"/>
      <c r="L35" s="22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4:50" ht="10.5">
      <c r="N36" s="27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9"/>
      <c r="AO36" s="28"/>
      <c r="AP36" s="28"/>
      <c r="AQ36" s="28"/>
      <c r="AR36" s="28"/>
      <c r="AS36" s="28"/>
      <c r="AT36" s="28"/>
      <c r="AU36" s="28"/>
      <c r="AV36" s="28"/>
      <c r="AW36" s="28"/>
      <c r="AX36" s="28"/>
    </row>
    <row r="37" spans="14:50" ht="10.5">
      <c r="N37" s="23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9"/>
      <c r="AJ37" s="29"/>
      <c r="AK37" s="29"/>
      <c r="AL37" s="29"/>
      <c r="AM37" s="29"/>
      <c r="AN37" s="29"/>
      <c r="AO37" s="28"/>
      <c r="AP37" s="28"/>
      <c r="AQ37" s="28"/>
      <c r="AR37" s="28"/>
      <c r="AS37" s="28"/>
      <c r="AT37" s="28"/>
      <c r="AU37" s="28"/>
      <c r="AV37" s="28"/>
      <c r="AW37" s="28"/>
      <c r="AX37" s="28"/>
    </row>
    <row r="38" spans="3:50" ht="10.5">
      <c r="C38" s="30"/>
      <c r="D38" s="30"/>
      <c r="E38" s="30"/>
      <c r="F38" s="30"/>
      <c r="N38" s="27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9"/>
      <c r="AJ38" s="29"/>
      <c r="AK38" s="29"/>
      <c r="AL38" s="29"/>
      <c r="AM38" s="29"/>
      <c r="AN38" s="29"/>
      <c r="AO38" s="28"/>
      <c r="AP38" s="28"/>
      <c r="AQ38" s="28"/>
      <c r="AR38" s="28"/>
      <c r="AS38" s="28"/>
      <c r="AT38" s="28"/>
      <c r="AU38" s="28"/>
      <c r="AV38" s="28"/>
      <c r="AW38" s="28"/>
      <c r="AX38" s="28"/>
    </row>
    <row r="39" spans="3:50" ht="10.5">
      <c r="C39" s="30"/>
      <c r="D39" s="30"/>
      <c r="E39" s="30"/>
      <c r="F39" s="30"/>
      <c r="N39" s="27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9"/>
      <c r="AJ39" s="29"/>
      <c r="AK39" s="29"/>
      <c r="AL39" s="29"/>
      <c r="AM39" s="29"/>
      <c r="AN39" s="29"/>
      <c r="AO39" s="28"/>
      <c r="AP39" s="28"/>
      <c r="AQ39" s="28"/>
      <c r="AR39" s="28"/>
      <c r="AS39" s="28"/>
      <c r="AT39" s="28"/>
      <c r="AU39" s="28"/>
      <c r="AV39" s="28"/>
      <c r="AW39" s="28"/>
      <c r="AX39" s="28"/>
    </row>
    <row r="40" spans="3:50" ht="10.5">
      <c r="C40" s="30"/>
      <c r="D40" s="30"/>
      <c r="E40" s="30"/>
      <c r="F40" s="30"/>
      <c r="N40" s="27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9"/>
      <c r="AJ40" s="29"/>
      <c r="AK40" s="29"/>
      <c r="AL40" s="29"/>
      <c r="AM40" s="29"/>
      <c r="AN40" s="29"/>
      <c r="AO40" s="28"/>
      <c r="AP40" s="28"/>
      <c r="AQ40" s="28"/>
      <c r="AR40" s="28"/>
      <c r="AS40" s="28"/>
      <c r="AT40" s="28"/>
      <c r="AU40" s="28"/>
      <c r="AV40" s="28"/>
      <c r="AW40" s="28"/>
      <c r="AX40" s="28"/>
    </row>
    <row r="41" spans="3:50" ht="10.5">
      <c r="C41" s="30"/>
      <c r="D41" s="30"/>
      <c r="E41" s="30"/>
      <c r="F41" s="30"/>
      <c r="N41" s="27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9"/>
      <c r="AJ41" s="29"/>
      <c r="AK41" s="29"/>
      <c r="AL41" s="29"/>
      <c r="AM41" s="29"/>
      <c r="AN41" s="29"/>
      <c r="AO41" s="28"/>
      <c r="AP41" s="28"/>
      <c r="AQ41" s="28"/>
      <c r="AR41" s="28"/>
      <c r="AS41" s="28"/>
      <c r="AT41" s="28"/>
      <c r="AU41" s="28"/>
      <c r="AV41" s="28"/>
      <c r="AW41" s="28"/>
      <c r="AX41" s="28"/>
    </row>
    <row r="42" spans="3:50" ht="31.5" customHeight="1">
      <c r="C42" s="14"/>
      <c r="D42" s="144" t="s">
        <v>115</v>
      </c>
      <c r="E42" s="145"/>
      <c r="F42" s="145"/>
      <c r="G42" s="145"/>
      <c r="H42" s="146"/>
      <c r="I42" s="16" t="str">
        <f>IF(I21&gt;=(I15*I16*I17/12),"нет","да")</f>
        <v>нет</v>
      </c>
      <c r="N42" s="27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9"/>
      <c r="AJ42" s="29"/>
      <c r="AK42" s="29"/>
      <c r="AL42" s="29"/>
      <c r="AM42" s="29"/>
      <c r="AN42" s="29"/>
      <c r="AO42" s="28"/>
      <c r="AP42" s="28"/>
      <c r="AQ42" s="28"/>
      <c r="AR42" s="28"/>
      <c r="AS42" s="28"/>
      <c r="AT42" s="28"/>
      <c r="AU42" s="28"/>
      <c r="AV42" s="28"/>
      <c r="AW42" s="28"/>
      <c r="AX42" s="28"/>
    </row>
    <row r="43" spans="3:50" ht="10.5">
      <c r="C43" s="30"/>
      <c r="D43" s="30"/>
      <c r="E43" s="30"/>
      <c r="F43" s="30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9"/>
      <c r="AJ43" s="29"/>
      <c r="AK43" s="29"/>
      <c r="AL43" s="29"/>
      <c r="AM43" s="29"/>
      <c r="AN43" s="29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3:50" ht="10.5">
      <c r="C44" s="30"/>
      <c r="D44" s="30"/>
      <c r="E44" s="30"/>
      <c r="F44" s="30"/>
      <c r="N44" s="27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</row>
    <row r="45" spans="3:50" ht="10.5">
      <c r="C45" s="30"/>
      <c r="D45" s="30"/>
      <c r="E45" s="30"/>
      <c r="F45" s="30"/>
      <c r="N45" s="27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3:50" ht="10.5">
      <c r="C46" s="30"/>
      <c r="D46" s="30"/>
      <c r="E46" s="30"/>
      <c r="F46" s="30"/>
      <c r="N46" s="27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</row>
    <row r="47" spans="3:50" ht="10.5">
      <c r="C47" s="30"/>
      <c r="D47" s="30"/>
      <c r="E47" s="30"/>
      <c r="F47" s="30"/>
      <c r="N47" s="27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3:50" ht="10.5">
      <c r="C48" s="30"/>
      <c r="D48" s="30"/>
      <c r="E48" s="30"/>
      <c r="F48" s="30"/>
      <c r="N48" s="27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3:50" ht="10.5">
      <c r="C49" s="30"/>
      <c r="D49" s="30"/>
      <c r="E49" s="30"/>
      <c r="F49" s="30"/>
      <c r="N49" s="27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  <row r="50" spans="3:6" ht="10.5">
      <c r="C50" s="30"/>
      <c r="D50" s="30"/>
      <c r="E50" s="30"/>
      <c r="F50" s="30"/>
    </row>
  </sheetData>
  <sheetProtection/>
  <mergeCells count="25">
    <mergeCell ref="D42:H42"/>
    <mergeCell ref="E28:F28"/>
    <mergeCell ref="G28:H28"/>
    <mergeCell ref="E29:F29"/>
    <mergeCell ref="E30:F30"/>
    <mergeCell ref="G30:H30"/>
    <mergeCell ref="E31:F31"/>
    <mergeCell ref="D19:F19"/>
    <mergeCell ref="D20:F20"/>
    <mergeCell ref="D21:F21"/>
    <mergeCell ref="D22:F22"/>
    <mergeCell ref="D23:F23"/>
    <mergeCell ref="D24:F24"/>
    <mergeCell ref="C12:I12"/>
    <mergeCell ref="D14:F14"/>
    <mergeCell ref="D15:F15"/>
    <mergeCell ref="D16:F16"/>
    <mergeCell ref="D17:F17"/>
    <mergeCell ref="D18:F18"/>
    <mergeCell ref="G3:H3"/>
    <mergeCell ref="H5:I5"/>
    <mergeCell ref="G6:I6"/>
    <mergeCell ref="C8:I8"/>
    <mergeCell ref="C9:F9"/>
    <mergeCell ref="C11:I11"/>
  </mergeCells>
  <hyperlinks>
    <hyperlink ref="L4" location="Положение!A1" display="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 (Указ от 23.10.2009 № 518)"/>
    <hyperlink ref="L5" location="'Расчет на срок &gt; 1 мес (мет.1)'!A1" display="Расчет суммы арендной платы на срок месяц и более (методика 1)"/>
    <hyperlink ref="L6" location="'Расчет на срок &gt; 1 мес (мет.2)'!A1" display="Расчет суммы арендной платы на срок месяц и более (методика 2)"/>
    <hyperlink ref="L7" location="'Расчет на срок &gt; 1 мес (мет.3)'!A1" display="Расчет суммы арендной платы на срок месяц и более (методика 3)"/>
    <hyperlink ref="L8" location="'Бухгалтерская справка'!A1" display="Бухгалтерская справка о размере фактических затрат по управлению и эксплуатации"/>
    <hyperlink ref="L9" location="'Расчет на срок &lt;1 мес (мет.1)'!A1" display="Расчет суммы арендной платы на срок менее месяца (методика 1)"/>
    <hyperlink ref="L10" location="'Расчет на срок &lt;1 мес (мет.2)'!A1" display="Расчет суммы арендной платы на срок менее месяца (методика 2)"/>
    <hyperlink ref="L11" location="'Расчет на срок &lt;1 мес (мет.3)'!A1" display="Расчет суммы арендной платы на срок менее месяца (методика 3)"/>
    <hyperlink ref="L12" location="'Калькуляция 1 м-часа'!A1" display="Калькуляция стоимости 1 машино-часа управления спецмеханизмом (с топливом)"/>
    <hyperlink ref="L13" location="'Калькуляция 1 м-ч (без топлива)'!A1" display="Калькуляция стоимости 1 машино-часа управления спецмеханизмом (без топлива)"/>
    <hyperlink ref="L14" location="топливо!A1" display="Расчет затрат на топливо за 1 маш.-ч для спецтехники"/>
    <hyperlink ref="L15" location="'смазочные материалы'!A1" display="Расчет затрат на смазочные материалы за 1 маш.час для спецтехники"/>
    <hyperlink ref="L16" location="ЗП!A1" display="Расчет  затрат на заработную плату за 1 маш.-час для спецтехники"/>
    <hyperlink ref="L17" location="'расчет % ОПР'!A1" display="Расчет процента общепроизводственных расходов"/>
    <hyperlink ref="L18" location="'расчет % ОХР'!A1" display="Расчет процента общехозяйственных расходов"/>
  </hyperlinks>
  <printOptions/>
  <pageMargins left="0.7" right="0.7" top="0.75" bottom="0.75" header="0.3" footer="0.3"/>
  <pageSetup horizontalDpi="300" verticalDpi="300" orientation="portrait" paperSize="9" scale="98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X47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1.421875" style="1" customWidth="1"/>
    <col min="5" max="5" width="8.8515625" style="1" customWidth="1"/>
    <col min="6" max="6" width="9.8515625" style="1" customWidth="1"/>
    <col min="7" max="7" width="10.7109375" style="1" customWidth="1"/>
    <col min="8" max="8" width="10.28125" style="1" customWidth="1"/>
    <col min="9" max="9" width="16.00390625" style="1" customWidth="1"/>
    <col min="10" max="10" width="2.8515625" style="1" customWidth="1"/>
    <col min="11" max="11" width="2.14062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5" customHeight="1">
      <c r="B3" s="7"/>
      <c r="C3" s="33"/>
      <c r="D3" s="33"/>
      <c r="E3" s="33"/>
      <c r="F3" s="33"/>
      <c r="G3" s="139" t="s">
        <v>7</v>
      </c>
      <c r="H3" s="139"/>
      <c r="I3" s="33"/>
      <c r="J3" s="8"/>
    </row>
    <row r="4" spans="2:12" ht="15">
      <c r="B4" s="7"/>
      <c r="C4" s="33"/>
      <c r="D4" s="33"/>
      <c r="E4" s="33"/>
      <c r="F4" s="33"/>
      <c r="G4" s="82" t="str">
        <f>'Расчет на срок &gt; 1 мес (мет.3)'!G4</f>
        <v>директор </v>
      </c>
      <c r="H4" s="59" t="str">
        <f>'Расчет на срок &gt; 1 мес (мет.2)'!H4</f>
        <v>РДУП "Автомобильный парк № 555"</v>
      </c>
      <c r="I4" s="33"/>
      <c r="J4" s="8"/>
      <c r="L4" s="66" t="s">
        <v>227</v>
      </c>
    </row>
    <row r="5" spans="2:12" ht="15">
      <c r="B5" s="7"/>
      <c r="C5" s="33"/>
      <c r="D5" s="33"/>
      <c r="E5" s="33"/>
      <c r="F5" s="33"/>
      <c r="G5" s="72"/>
      <c r="H5" s="154" t="str">
        <f>'Расчет на срок &gt; 1 мес (мет.3)'!H5:I5</f>
        <v>Иванов С.Т.</v>
      </c>
      <c r="I5" s="154"/>
      <c r="J5" s="51"/>
      <c r="L5" s="66" t="s">
        <v>176</v>
      </c>
    </row>
    <row r="6" spans="2:12" ht="20.25" customHeight="1">
      <c r="B6" s="7"/>
      <c r="C6" s="33"/>
      <c r="D6" s="33"/>
      <c r="E6" s="33"/>
      <c r="F6" s="33"/>
      <c r="G6" s="154" t="str">
        <f>'Расчет на срок &gt; 1 мес (мет.3)'!G6:I6</f>
        <v>"_____" ______________ 20___ г.</v>
      </c>
      <c r="H6" s="154"/>
      <c r="I6" s="154"/>
      <c r="J6" s="51"/>
      <c r="L6" s="66" t="s">
        <v>177</v>
      </c>
    </row>
    <row r="7" spans="2:12" ht="15">
      <c r="B7" s="7"/>
      <c r="C7" s="33"/>
      <c r="D7" s="33"/>
      <c r="E7" s="33"/>
      <c r="F7" s="33"/>
      <c r="G7" s="33"/>
      <c r="H7" s="35"/>
      <c r="I7" s="35"/>
      <c r="J7" s="8"/>
      <c r="L7" s="66" t="s">
        <v>178</v>
      </c>
    </row>
    <row r="8" spans="2:12" ht="15">
      <c r="B8" s="7"/>
      <c r="C8" s="141" t="s">
        <v>27</v>
      </c>
      <c r="D8" s="141"/>
      <c r="E8" s="141"/>
      <c r="F8" s="141"/>
      <c r="G8" s="141"/>
      <c r="H8" s="141"/>
      <c r="I8" s="141"/>
      <c r="J8" s="8"/>
      <c r="L8" s="66" t="s">
        <v>182</v>
      </c>
    </row>
    <row r="9" spans="2:12" ht="15">
      <c r="B9" s="7"/>
      <c r="C9" s="147" t="s">
        <v>97</v>
      </c>
      <c r="D9" s="147"/>
      <c r="E9" s="147"/>
      <c r="F9" s="147"/>
      <c r="G9" s="89">
        <f>'Расчет на срок &lt;1 мес (мет.1)'!G9</f>
        <v>2</v>
      </c>
      <c r="H9" s="76" t="s">
        <v>137</v>
      </c>
      <c r="I9" s="88" t="str">
        <f>'Расчет на срок &lt;1 мес (мет.1)'!I9</f>
        <v>01.11.2010г.</v>
      </c>
      <c r="J9" s="8"/>
      <c r="L9" s="66" t="s">
        <v>179</v>
      </c>
    </row>
    <row r="10" spans="2:12" ht="13.5" customHeight="1">
      <c r="B10" s="7"/>
      <c r="C10" s="68"/>
      <c r="D10" s="68"/>
      <c r="E10" s="68"/>
      <c r="F10" s="68"/>
      <c r="G10" s="74" t="s">
        <v>139</v>
      </c>
      <c r="H10" s="67"/>
      <c r="I10" s="67"/>
      <c r="J10" s="8"/>
      <c r="L10" s="66" t="s">
        <v>180</v>
      </c>
    </row>
    <row r="11" spans="2:12" ht="15" customHeight="1">
      <c r="B11" s="7"/>
      <c r="C11" s="155" t="str">
        <f>'Расчет на срок &gt; 1 мес (мет.3)'!C11:I11</f>
        <v>Бульдозер PR722 Litronic</v>
      </c>
      <c r="D11" s="155"/>
      <c r="E11" s="155"/>
      <c r="F11" s="155"/>
      <c r="G11" s="155"/>
      <c r="H11" s="155"/>
      <c r="I11" s="155"/>
      <c r="J11" s="8"/>
      <c r="L11" s="66" t="s">
        <v>181</v>
      </c>
    </row>
    <row r="12" spans="2:12" ht="15">
      <c r="B12" s="7"/>
      <c r="C12" s="140" t="s">
        <v>118</v>
      </c>
      <c r="D12" s="140"/>
      <c r="E12" s="140"/>
      <c r="F12" s="140"/>
      <c r="G12" s="140"/>
      <c r="H12" s="140"/>
      <c r="I12" s="140"/>
      <c r="J12" s="8"/>
      <c r="L12" s="66" t="s">
        <v>183</v>
      </c>
    </row>
    <row r="13" spans="2:12" ht="15">
      <c r="B13" s="7"/>
      <c r="C13" s="10"/>
      <c r="D13" s="10"/>
      <c r="E13" s="10"/>
      <c r="F13" s="10"/>
      <c r="G13" s="11"/>
      <c r="H13" s="11"/>
      <c r="I13" s="11"/>
      <c r="J13" s="8"/>
      <c r="L13" s="66" t="s">
        <v>184</v>
      </c>
    </row>
    <row r="14" spans="2:12" ht="24" customHeight="1">
      <c r="B14" s="7"/>
      <c r="C14" s="12" t="s">
        <v>1</v>
      </c>
      <c r="D14" s="148" t="s">
        <v>13</v>
      </c>
      <c r="E14" s="149"/>
      <c r="F14" s="150"/>
      <c r="G14" s="12" t="s">
        <v>99</v>
      </c>
      <c r="H14" s="13" t="s">
        <v>98</v>
      </c>
      <c r="I14" s="13" t="s">
        <v>125</v>
      </c>
      <c r="J14" s="8"/>
      <c r="L14" s="66" t="s">
        <v>185</v>
      </c>
    </row>
    <row r="15" spans="2:12" ht="31.5" customHeight="1">
      <c r="B15" s="7"/>
      <c r="C15" s="14">
        <v>1</v>
      </c>
      <c r="D15" s="144" t="s">
        <v>120</v>
      </c>
      <c r="E15" s="145"/>
      <c r="F15" s="146"/>
      <c r="G15" s="14"/>
      <c r="H15" s="14"/>
      <c r="I15" s="63">
        <f>'Расчет на срок &gt; 1 мес (мет.2)'!I15</f>
        <v>50</v>
      </c>
      <c r="J15" s="8"/>
      <c r="K15" s="65"/>
      <c r="L15" s="66" t="s">
        <v>186</v>
      </c>
    </row>
    <row r="16" spans="2:12" ht="23.25" customHeight="1">
      <c r="B16" s="7"/>
      <c r="C16" s="14">
        <v>2</v>
      </c>
      <c r="D16" s="144" t="s">
        <v>104</v>
      </c>
      <c r="E16" s="145"/>
      <c r="F16" s="146"/>
      <c r="G16" s="14" t="s">
        <v>113</v>
      </c>
      <c r="H16" s="14" t="s">
        <v>36</v>
      </c>
      <c r="I16" s="64">
        <f>'Расчет на срок &gt; 1 мес (мет.1)'!I22</f>
        <v>8700000</v>
      </c>
      <c r="J16" s="8"/>
      <c r="K16" s="65"/>
      <c r="L16" s="66" t="s">
        <v>188</v>
      </c>
    </row>
    <row r="17" spans="2:12" ht="15" customHeight="1">
      <c r="B17" s="7"/>
      <c r="C17" s="14">
        <v>3</v>
      </c>
      <c r="D17" s="144" t="s">
        <v>121</v>
      </c>
      <c r="E17" s="145"/>
      <c r="F17" s="146"/>
      <c r="G17" s="14" t="s">
        <v>124</v>
      </c>
      <c r="H17" s="14" t="s">
        <v>37</v>
      </c>
      <c r="I17" s="87">
        <f>'Расчет на срок &gt; 1 мес (мет.2)'!I17</f>
        <v>0.18</v>
      </c>
      <c r="J17" s="8"/>
      <c r="K17" s="65"/>
      <c r="L17" s="66" t="s">
        <v>74</v>
      </c>
    </row>
    <row r="18" spans="2:12" ht="10.5" customHeight="1">
      <c r="B18" s="7"/>
      <c r="C18" s="14">
        <v>4</v>
      </c>
      <c r="D18" s="144" t="s">
        <v>122</v>
      </c>
      <c r="E18" s="145"/>
      <c r="F18" s="146"/>
      <c r="G18" s="14" t="s">
        <v>108</v>
      </c>
      <c r="H18" s="14" t="s">
        <v>37</v>
      </c>
      <c r="I18" s="79">
        <f>'Расчет на срок &gt; 1 мес (мет.1)'!I19</f>
        <v>0.2</v>
      </c>
      <c r="J18" s="8"/>
      <c r="K18" s="65"/>
      <c r="L18" s="66" t="s">
        <v>90</v>
      </c>
    </row>
    <row r="19" spans="2:11" ht="10.5">
      <c r="B19" s="7"/>
      <c r="C19" s="14">
        <v>5</v>
      </c>
      <c r="D19" s="144" t="s">
        <v>103</v>
      </c>
      <c r="E19" s="145"/>
      <c r="F19" s="146"/>
      <c r="G19" s="14" t="s">
        <v>112</v>
      </c>
      <c r="H19" s="14" t="s">
        <v>36</v>
      </c>
      <c r="I19" s="16">
        <f>IF(OR('Расчет на срок &gt; 1 мес (мет.1)'!I43="да",I15&gt;=90),0,ROUND(I16*(1+I17)*(1+I18),0))</f>
        <v>12319200</v>
      </c>
      <c r="J19" s="8"/>
      <c r="K19" s="65"/>
    </row>
    <row r="20" spans="2:11" ht="15" customHeight="1">
      <c r="B20" s="7"/>
      <c r="C20" s="14">
        <v>6</v>
      </c>
      <c r="D20" s="144" t="s">
        <v>140</v>
      </c>
      <c r="E20" s="145"/>
      <c r="F20" s="146"/>
      <c r="G20" s="14" t="s">
        <v>109</v>
      </c>
      <c r="H20" s="14" t="s">
        <v>141</v>
      </c>
      <c r="I20" s="64">
        <f>'Расчет на срок &lt;1 мес (мет.1)'!I22</f>
        <v>170.8</v>
      </c>
      <c r="J20" s="8"/>
      <c r="K20" s="65"/>
    </row>
    <row r="21" spans="2:11" ht="10.5">
      <c r="B21" s="7"/>
      <c r="C21" s="14">
        <v>7</v>
      </c>
      <c r="D21" s="144" t="s">
        <v>106</v>
      </c>
      <c r="E21" s="145"/>
      <c r="F21" s="146"/>
      <c r="G21" s="14" t="s">
        <v>114</v>
      </c>
      <c r="H21" s="14" t="s">
        <v>36</v>
      </c>
      <c r="I21" s="16">
        <f>ROUND(I19/I20*G9,0)</f>
        <v>144253</v>
      </c>
      <c r="J21" s="8"/>
      <c r="K21" s="65"/>
    </row>
    <row r="22" spans="2:12" ht="10.5" customHeight="1">
      <c r="B22" s="7"/>
      <c r="C22" s="14">
        <v>8</v>
      </c>
      <c r="D22" s="144" t="s">
        <v>116</v>
      </c>
      <c r="E22" s="145"/>
      <c r="F22" s="146"/>
      <c r="G22" s="14"/>
      <c r="H22" s="14" t="s">
        <v>36</v>
      </c>
      <c r="I22" s="16">
        <f>ROUND((I21*I18)/(1+I18),0)</f>
        <v>24042</v>
      </c>
      <c r="J22" s="8"/>
      <c r="K22" s="65"/>
      <c r="L22" s="66"/>
    </row>
    <row r="23" spans="2:10" ht="10.5">
      <c r="B23" s="7"/>
      <c r="C23" s="10"/>
      <c r="D23" s="10"/>
      <c r="E23" s="10"/>
      <c r="F23" s="10"/>
      <c r="G23" s="11"/>
      <c r="H23" s="11"/>
      <c r="I23" s="11"/>
      <c r="J23" s="8"/>
    </row>
    <row r="24" spans="2:10" ht="10.5">
      <c r="B24" s="7"/>
      <c r="C24" s="10"/>
      <c r="D24" s="10"/>
      <c r="E24" s="10"/>
      <c r="F24" s="10"/>
      <c r="G24" s="11"/>
      <c r="H24" s="11"/>
      <c r="I24" s="11"/>
      <c r="J24" s="8"/>
    </row>
    <row r="25" spans="2:10" ht="10.5">
      <c r="B25" s="7"/>
      <c r="C25" s="10"/>
      <c r="D25" s="10"/>
      <c r="E25" s="10"/>
      <c r="F25" s="10"/>
      <c r="G25" s="11"/>
      <c r="H25" s="11"/>
      <c r="I25" s="11"/>
      <c r="J25" s="8"/>
    </row>
    <row r="26" spans="2:10" ht="10.5">
      <c r="B26" s="7"/>
      <c r="C26" s="10" t="s">
        <v>5</v>
      </c>
      <c r="D26" s="10"/>
      <c r="E26" s="151"/>
      <c r="F26" s="151"/>
      <c r="G26" s="153" t="str">
        <f>'Расчет на срок &gt; 1 мес (мет.1)'!G29:H29</f>
        <v>Петрова А.А.</v>
      </c>
      <c r="H26" s="153"/>
      <c r="I26" s="11"/>
      <c r="J26" s="8"/>
    </row>
    <row r="27" spans="2:10" ht="23.25" customHeight="1">
      <c r="B27" s="7"/>
      <c r="C27" s="10"/>
      <c r="D27" s="10"/>
      <c r="E27" s="152" t="s">
        <v>9</v>
      </c>
      <c r="F27" s="152"/>
      <c r="G27" s="71"/>
      <c r="H27" s="71"/>
      <c r="I27" s="11"/>
      <c r="J27" s="8"/>
    </row>
    <row r="28" spans="2:10" ht="10.5">
      <c r="B28" s="7"/>
      <c r="C28" s="10" t="s">
        <v>6</v>
      </c>
      <c r="D28" s="10"/>
      <c r="E28" s="151"/>
      <c r="F28" s="151"/>
      <c r="G28" s="153" t="str">
        <f>'Расчет на срок &gt; 1 мес (мет.2)'!G28:H28</f>
        <v>Сидорова А.А.</v>
      </c>
      <c r="H28" s="153"/>
      <c r="I28" s="11"/>
      <c r="J28" s="8"/>
    </row>
    <row r="29" spans="2:10" ht="10.5">
      <c r="B29" s="7"/>
      <c r="C29" s="10"/>
      <c r="D29" s="10"/>
      <c r="E29" s="152" t="s">
        <v>9</v>
      </c>
      <c r="F29" s="152"/>
      <c r="G29" s="11"/>
      <c r="H29" s="11"/>
      <c r="I29" s="11"/>
      <c r="J29" s="8"/>
    </row>
    <row r="30" spans="2:10" ht="10.5">
      <c r="B30" s="7"/>
      <c r="C30" s="10"/>
      <c r="D30" s="10"/>
      <c r="E30" s="10"/>
      <c r="F30" s="10"/>
      <c r="G30" s="11"/>
      <c r="H30" s="11"/>
      <c r="I30" s="11"/>
      <c r="J30" s="8"/>
    </row>
    <row r="31" spans="2:10" ht="10.5">
      <c r="B31" s="7"/>
      <c r="C31" s="10"/>
      <c r="D31" s="10"/>
      <c r="E31" s="10"/>
      <c r="F31" s="10"/>
      <c r="G31" s="11"/>
      <c r="H31" s="11"/>
      <c r="I31" s="11"/>
      <c r="J31" s="8"/>
    </row>
    <row r="32" spans="1:50" s="22" customFormat="1" ht="10.5">
      <c r="A32" s="18"/>
      <c r="B32" s="19"/>
      <c r="C32" s="20"/>
      <c r="D32" s="20"/>
      <c r="E32" s="20"/>
      <c r="F32" s="20"/>
      <c r="G32" s="20"/>
      <c r="H32" s="20"/>
      <c r="I32" s="20"/>
      <c r="J32" s="21"/>
      <c r="L32" s="1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2:50" ht="11.25" thickBot="1">
      <c r="B33" s="24"/>
      <c r="C33" s="25"/>
      <c r="D33" s="25"/>
      <c r="E33" s="25"/>
      <c r="F33" s="25"/>
      <c r="G33" s="25"/>
      <c r="H33" s="25"/>
      <c r="I33" s="25"/>
      <c r="J33" s="26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4:50" ht="10.5">
      <c r="N34" s="27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9"/>
      <c r="AO34" s="28"/>
      <c r="AP34" s="28"/>
      <c r="AQ34" s="28"/>
      <c r="AR34" s="28"/>
      <c r="AS34" s="28"/>
      <c r="AT34" s="28"/>
      <c r="AU34" s="28"/>
      <c r="AV34" s="28"/>
      <c r="AW34" s="28"/>
      <c r="AX34" s="28"/>
    </row>
    <row r="35" spans="12:50" ht="10.5">
      <c r="L35" s="22"/>
      <c r="N35" s="23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9"/>
      <c r="AJ35" s="29"/>
      <c r="AK35" s="29"/>
      <c r="AL35" s="29"/>
      <c r="AM35" s="29"/>
      <c r="AN35" s="29"/>
      <c r="AO35" s="28"/>
      <c r="AP35" s="28"/>
      <c r="AQ35" s="28"/>
      <c r="AR35" s="28"/>
      <c r="AS35" s="28"/>
      <c r="AT35" s="28"/>
      <c r="AU35" s="28"/>
      <c r="AV35" s="28"/>
      <c r="AW35" s="28"/>
      <c r="AX35" s="28"/>
    </row>
    <row r="36" spans="3:50" ht="10.5">
      <c r="C36" s="30"/>
      <c r="D36" s="30"/>
      <c r="E36" s="30"/>
      <c r="F36" s="30"/>
      <c r="N36" s="27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9"/>
      <c r="AJ36" s="29"/>
      <c r="AK36" s="29"/>
      <c r="AL36" s="29"/>
      <c r="AM36" s="29"/>
      <c r="AN36" s="29"/>
      <c r="AO36" s="28"/>
      <c r="AP36" s="28"/>
      <c r="AQ36" s="28"/>
      <c r="AR36" s="28"/>
      <c r="AS36" s="28"/>
      <c r="AT36" s="28"/>
      <c r="AU36" s="28"/>
      <c r="AV36" s="28"/>
      <c r="AW36" s="28"/>
      <c r="AX36" s="28"/>
    </row>
    <row r="37" spans="3:50" ht="10.5">
      <c r="C37" s="30"/>
      <c r="D37" s="30"/>
      <c r="E37" s="30"/>
      <c r="F37" s="30"/>
      <c r="N37" s="27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9"/>
      <c r="AJ37" s="29"/>
      <c r="AK37" s="29"/>
      <c r="AL37" s="29"/>
      <c r="AM37" s="29"/>
      <c r="AN37" s="29"/>
      <c r="AO37" s="28"/>
      <c r="AP37" s="28"/>
      <c r="AQ37" s="28"/>
      <c r="AR37" s="28"/>
      <c r="AS37" s="28"/>
      <c r="AT37" s="28"/>
      <c r="AU37" s="28"/>
      <c r="AV37" s="28"/>
      <c r="AW37" s="28"/>
      <c r="AX37" s="28"/>
    </row>
    <row r="38" spans="3:50" ht="10.5">
      <c r="C38" s="30"/>
      <c r="D38" s="30"/>
      <c r="E38" s="30"/>
      <c r="F38" s="30"/>
      <c r="N38" s="27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9"/>
      <c r="AJ38" s="29"/>
      <c r="AK38" s="29"/>
      <c r="AL38" s="29"/>
      <c r="AM38" s="29"/>
      <c r="AN38" s="29"/>
      <c r="AO38" s="28"/>
      <c r="AP38" s="28"/>
      <c r="AQ38" s="28"/>
      <c r="AR38" s="28"/>
      <c r="AS38" s="28"/>
      <c r="AT38" s="28"/>
      <c r="AU38" s="28"/>
      <c r="AV38" s="28"/>
      <c r="AW38" s="28"/>
      <c r="AX38" s="28"/>
    </row>
    <row r="39" spans="3:50" ht="10.5">
      <c r="C39" s="30"/>
      <c r="D39" s="30"/>
      <c r="E39" s="30"/>
      <c r="F39" s="30"/>
      <c r="N39" s="27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9"/>
      <c r="AJ39" s="29"/>
      <c r="AK39" s="29"/>
      <c r="AL39" s="29"/>
      <c r="AM39" s="29"/>
      <c r="AN39" s="29"/>
      <c r="AO39" s="28"/>
      <c r="AP39" s="28"/>
      <c r="AQ39" s="28"/>
      <c r="AR39" s="28"/>
      <c r="AS39" s="28"/>
      <c r="AT39" s="28"/>
      <c r="AU39" s="28"/>
      <c r="AV39" s="28"/>
      <c r="AW39" s="28"/>
      <c r="AX39" s="28"/>
    </row>
    <row r="40" spans="3:50" ht="10.5">
      <c r="C40" s="30"/>
      <c r="D40" s="30"/>
      <c r="E40" s="30"/>
      <c r="F40" s="30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9"/>
      <c r="AJ40" s="29"/>
      <c r="AK40" s="29"/>
      <c r="AL40" s="29"/>
      <c r="AM40" s="29"/>
      <c r="AN40" s="29"/>
      <c r="AO40" s="28"/>
      <c r="AP40" s="28"/>
      <c r="AQ40" s="28"/>
      <c r="AR40" s="28"/>
      <c r="AS40" s="28"/>
      <c r="AT40" s="28"/>
      <c r="AU40" s="28"/>
      <c r="AV40" s="28"/>
      <c r="AW40" s="28"/>
      <c r="AX40" s="28"/>
    </row>
    <row r="41" spans="3:50" ht="10.5">
      <c r="C41" s="30"/>
      <c r="D41" s="30"/>
      <c r="E41" s="30"/>
      <c r="F41" s="30"/>
      <c r="N41" s="27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</row>
    <row r="42" spans="3:50" ht="10.5">
      <c r="C42" s="30"/>
      <c r="D42" s="30"/>
      <c r="E42" s="30"/>
      <c r="F42" s="30"/>
      <c r="N42" s="27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</row>
    <row r="43" spans="3:50" ht="10.5">
      <c r="C43" s="30"/>
      <c r="D43" s="30"/>
      <c r="E43" s="30"/>
      <c r="F43" s="30"/>
      <c r="N43" s="27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3:50" ht="10.5">
      <c r="C44" s="30"/>
      <c r="D44" s="30"/>
      <c r="E44" s="30"/>
      <c r="F44" s="30"/>
      <c r="N44" s="27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3:50" ht="10.5">
      <c r="C45" s="30"/>
      <c r="D45" s="30"/>
      <c r="E45" s="30"/>
      <c r="F45" s="30"/>
      <c r="N45" s="2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3:50" ht="10.5">
      <c r="C46" s="30"/>
      <c r="D46" s="30"/>
      <c r="E46" s="30"/>
      <c r="F46" s="30"/>
      <c r="N46" s="27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</row>
    <row r="47" spans="3:6" ht="10.5">
      <c r="C47" s="30"/>
      <c r="D47" s="30"/>
      <c r="E47" s="30"/>
      <c r="F47" s="30"/>
    </row>
  </sheetData>
  <sheetProtection/>
  <mergeCells count="22">
    <mergeCell ref="E29:F29"/>
    <mergeCell ref="E26:F26"/>
    <mergeCell ref="G26:H26"/>
    <mergeCell ref="E27:F27"/>
    <mergeCell ref="E28:F28"/>
    <mergeCell ref="G28:H28"/>
    <mergeCell ref="D19:F19"/>
    <mergeCell ref="D20:F20"/>
    <mergeCell ref="D21:F21"/>
    <mergeCell ref="D22:F22"/>
    <mergeCell ref="C12:I12"/>
    <mergeCell ref="D14:F14"/>
    <mergeCell ref="D15:F15"/>
    <mergeCell ref="D16:F16"/>
    <mergeCell ref="D17:F17"/>
    <mergeCell ref="D18:F18"/>
    <mergeCell ref="G3:H3"/>
    <mergeCell ref="H5:I5"/>
    <mergeCell ref="G6:I6"/>
    <mergeCell ref="C8:I8"/>
    <mergeCell ref="C9:F9"/>
    <mergeCell ref="C11:I11"/>
  </mergeCells>
  <hyperlinks>
    <hyperlink ref="L4" location="Положение!A1" display="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 (Указ от 23.10.2009 № 518)"/>
    <hyperlink ref="L5" location="'Расчет на срок &gt; 1 мес (мет.1)'!A1" display="Расчет суммы арендной платы на срок месяц и более (методика 1)"/>
    <hyperlink ref="L6" location="'Расчет на срок &gt; 1 мес (мет.2)'!A1" display="Расчет суммы арендной платы на срок месяц и более (методика 2)"/>
    <hyperlink ref="L7" location="'Расчет на срок &gt; 1 мес (мет.3)'!A1" display="Расчет суммы арендной платы на срок месяц и более (методика 3)"/>
    <hyperlink ref="L8" location="'Бухгалтерская справка'!A1" display="Бухгалтерская справка о размере фактических затрат по управлению и эксплуатации"/>
    <hyperlink ref="L9" location="'Расчет на срок &lt;1 мес (мет.1)'!A1" display="Расчет суммы арендной платы на срок менее месяца (методика 1)"/>
    <hyperlink ref="L10" location="'Расчет на срок &lt;1 мес (мет.2)'!A1" display="Расчет суммы арендной платы на срок менее месяца (методика 2)"/>
    <hyperlink ref="L11" location="'Расчет на срок &lt;1 мес (мет.3)'!A1" display="Расчет суммы арендной платы на срок менее месяца (методика 3)"/>
    <hyperlink ref="L12" location="'Калькуляция 1 м-часа'!A1" display="Калькуляция стоимости 1 машино-часа управления спецмеханизмом (с топливом)"/>
    <hyperlink ref="L13" location="'Калькуляция 1 м-ч (без топлива)'!A1" display="Калькуляция стоимости 1 машино-часа управления спецмеханизмом (без топлива)"/>
    <hyperlink ref="L14" location="топливо!A1" display="Расчет затрат на топливо за 1 маш.-ч для спецтехники"/>
    <hyperlink ref="L15" location="'смазочные материалы'!A1" display="Расчет затрат на смазочные материалы за 1 маш.час для спецтехники"/>
    <hyperlink ref="L16" location="ЗП!A1" display="Расчет  затрат на заработную плату за 1 маш.-час для спецтехники"/>
    <hyperlink ref="L17" location="'расчет % ОПР'!A1" display="Расчет процента общепроизводственных расходов"/>
    <hyperlink ref="L18" location="'расчет % ОХР'!A1" display="Расчет процента общехозяйственных расходов"/>
  </hyperlinks>
  <printOptions/>
  <pageMargins left="0.7" right="0.7" top="0.75" bottom="0.75" header="0.3" footer="0.3"/>
  <pageSetup horizontalDpi="300" verticalDpi="300" orientation="portrait" paperSize="9" scale="98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X46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21.421875" style="1" customWidth="1"/>
    <col min="5" max="5" width="8.8515625" style="1" customWidth="1"/>
    <col min="6" max="6" width="9.8515625" style="1" customWidth="1"/>
    <col min="7" max="7" width="10.7109375" style="1" customWidth="1"/>
    <col min="8" max="8" width="10.28125" style="1" customWidth="1"/>
    <col min="9" max="9" width="16.00390625" style="1" customWidth="1"/>
    <col min="10" max="10" width="2.8515625" style="1" customWidth="1"/>
    <col min="11" max="11" width="2.14062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5" customHeight="1">
      <c r="B3" s="7"/>
      <c r="C3" s="33"/>
      <c r="D3" s="33"/>
      <c r="E3" s="33"/>
      <c r="F3" s="33"/>
      <c r="G3" s="139" t="s">
        <v>7</v>
      </c>
      <c r="H3" s="139"/>
      <c r="I3" s="33"/>
      <c r="J3" s="8"/>
    </row>
    <row r="4" spans="2:12" ht="15">
      <c r="B4" s="7"/>
      <c r="C4" s="33"/>
      <c r="D4" s="33"/>
      <c r="E4" s="33"/>
      <c r="F4" s="33"/>
      <c r="G4" s="82" t="str">
        <f>'Расчет на срок &gt; 1 мес (мет.3)'!G4</f>
        <v>директор </v>
      </c>
      <c r="H4" s="59" t="str">
        <f>'Расчет на срок &gt; 1 мес (мет.2)'!H4</f>
        <v>РДУП "Автомобильный парк № 555"</v>
      </c>
      <c r="I4" s="33"/>
      <c r="J4" s="8"/>
      <c r="L4" s="66" t="s">
        <v>227</v>
      </c>
    </row>
    <row r="5" spans="2:12" ht="15">
      <c r="B5" s="7"/>
      <c r="C5" s="33"/>
      <c r="D5" s="33"/>
      <c r="E5" s="33"/>
      <c r="F5" s="33"/>
      <c r="G5" s="72"/>
      <c r="H5" s="154" t="str">
        <f>'Расчет на срок &gt; 1 мес (мет.3)'!H5:I5</f>
        <v>Иванов С.Т.</v>
      </c>
      <c r="I5" s="154"/>
      <c r="J5" s="51"/>
      <c r="L5" s="66" t="s">
        <v>176</v>
      </c>
    </row>
    <row r="6" spans="2:12" ht="20.25" customHeight="1">
      <c r="B6" s="7"/>
      <c r="C6" s="33"/>
      <c r="D6" s="33"/>
      <c r="E6" s="33"/>
      <c r="F6" s="33"/>
      <c r="G6" s="154" t="str">
        <f>'Расчет на срок &gt; 1 мес (мет.3)'!G6:I6</f>
        <v>"_____" ______________ 20___ г.</v>
      </c>
      <c r="H6" s="154"/>
      <c r="I6" s="154"/>
      <c r="J6" s="51"/>
      <c r="L6" s="66" t="s">
        <v>177</v>
      </c>
    </row>
    <row r="7" spans="2:12" ht="15">
      <c r="B7" s="7"/>
      <c r="C7" s="33"/>
      <c r="D7" s="33"/>
      <c r="E7" s="33"/>
      <c r="F7" s="33"/>
      <c r="G7" s="33"/>
      <c r="H7" s="35"/>
      <c r="I7" s="35"/>
      <c r="J7" s="8"/>
      <c r="L7" s="66" t="s">
        <v>178</v>
      </c>
    </row>
    <row r="8" spans="2:12" ht="15">
      <c r="B8" s="7"/>
      <c r="C8" s="141" t="s">
        <v>27</v>
      </c>
      <c r="D8" s="141"/>
      <c r="E8" s="141"/>
      <c r="F8" s="141"/>
      <c r="G8" s="141"/>
      <c r="H8" s="141"/>
      <c r="I8" s="141"/>
      <c r="J8" s="8"/>
      <c r="L8" s="66" t="s">
        <v>182</v>
      </c>
    </row>
    <row r="9" spans="2:12" ht="15">
      <c r="B9" s="7"/>
      <c r="C9" s="147" t="s">
        <v>97</v>
      </c>
      <c r="D9" s="147"/>
      <c r="E9" s="147"/>
      <c r="F9" s="147"/>
      <c r="G9" s="89">
        <f>'Расчет на срок &lt;1 мес (мет.1)'!G9</f>
        <v>2</v>
      </c>
      <c r="H9" s="76" t="s">
        <v>137</v>
      </c>
      <c r="I9" s="88" t="str">
        <f>'Расчет на срок &lt;1 мес (мет.1)'!I9</f>
        <v>01.11.2010г.</v>
      </c>
      <c r="J9" s="8"/>
      <c r="L9" s="66" t="s">
        <v>179</v>
      </c>
    </row>
    <row r="10" spans="2:12" ht="13.5" customHeight="1">
      <c r="B10" s="7"/>
      <c r="C10" s="68"/>
      <c r="D10" s="68"/>
      <c r="E10" s="68"/>
      <c r="F10" s="68"/>
      <c r="G10" s="74" t="s">
        <v>139</v>
      </c>
      <c r="H10" s="67"/>
      <c r="I10" s="67"/>
      <c r="J10" s="8"/>
      <c r="L10" s="66" t="s">
        <v>180</v>
      </c>
    </row>
    <row r="11" spans="2:12" ht="15" customHeight="1">
      <c r="B11" s="7"/>
      <c r="C11" s="155" t="str">
        <f>'Расчет на срок &gt; 1 мес (мет.3)'!C11:I11</f>
        <v>Бульдозер PR722 Litronic</v>
      </c>
      <c r="D11" s="155"/>
      <c r="E11" s="155"/>
      <c r="F11" s="155"/>
      <c r="G11" s="155"/>
      <c r="H11" s="155"/>
      <c r="I11" s="155"/>
      <c r="J11" s="8"/>
      <c r="L11" s="66" t="s">
        <v>181</v>
      </c>
    </row>
    <row r="12" spans="2:12" ht="15">
      <c r="B12" s="7"/>
      <c r="C12" s="140" t="s">
        <v>118</v>
      </c>
      <c r="D12" s="140"/>
      <c r="E12" s="140"/>
      <c r="F12" s="140"/>
      <c r="G12" s="140"/>
      <c r="H12" s="140"/>
      <c r="I12" s="140"/>
      <c r="J12" s="8"/>
      <c r="L12" s="66" t="s">
        <v>183</v>
      </c>
    </row>
    <row r="13" spans="2:12" ht="15">
      <c r="B13" s="7"/>
      <c r="C13" s="10"/>
      <c r="D13" s="10"/>
      <c r="E13" s="10"/>
      <c r="F13" s="10"/>
      <c r="G13" s="11"/>
      <c r="H13" s="11"/>
      <c r="I13" s="11"/>
      <c r="J13" s="8"/>
      <c r="L13" s="66" t="s">
        <v>184</v>
      </c>
    </row>
    <row r="14" spans="2:12" ht="24" customHeight="1">
      <c r="B14" s="7"/>
      <c r="C14" s="12" t="s">
        <v>1</v>
      </c>
      <c r="D14" s="148" t="s">
        <v>13</v>
      </c>
      <c r="E14" s="149"/>
      <c r="F14" s="150"/>
      <c r="G14" s="12" t="s">
        <v>99</v>
      </c>
      <c r="H14" s="13" t="s">
        <v>98</v>
      </c>
      <c r="I14" s="13" t="s">
        <v>125</v>
      </c>
      <c r="J14" s="8"/>
      <c r="L14" s="66" t="s">
        <v>185</v>
      </c>
    </row>
    <row r="15" spans="2:12" ht="31.5" customHeight="1">
      <c r="B15" s="7"/>
      <c r="C15" s="14">
        <v>1</v>
      </c>
      <c r="D15" s="144" t="s">
        <v>126</v>
      </c>
      <c r="E15" s="145"/>
      <c r="F15" s="146"/>
      <c r="G15" s="14" t="s">
        <v>127</v>
      </c>
      <c r="H15" s="14" t="s">
        <v>36</v>
      </c>
      <c r="I15" s="16">
        <f>'Расчет на срок &gt; 1 мес (мет.3)'!I15</f>
        <v>30000000</v>
      </c>
      <c r="J15" s="8"/>
      <c r="K15" s="65"/>
      <c r="L15" s="66" t="s">
        <v>186</v>
      </c>
    </row>
    <row r="16" spans="2:12" ht="23.25" customHeight="1">
      <c r="B16" s="7"/>
      <c r="C16" s="14">
        <v>2</v>
      </c>
      <c r="D16" s="144" t="s">
        <v>102</v>
      </c>
      <c r="E16" s="145"/>
      <c r="F16" s="146"/>
      <c r="G16" s="14" t="s">
        <v>117</v>
      </c>
      <c r="H16" s="14"/>
      <c r="I16" s="63">
        <f>'Расчет на срок &gt; 1 мес (мет.3)'!I16</f>
        <v>1.1</v>
      </c>
      <c r="J16" s="8"/>
      <c r="K16" s="65"/>
      <c r="L16" s="66" t="s">
        <v>188</v>
      </c>
    </row>
    <row r="17" spans="2:12" ht="15" customHeight="1">
      <c r="B17" s="7"/>
      <c r="C17" s="14">
        <v>3</v>
      </c>
      <c r="D17" s="144" t="s">
        <v>122</v>
      </c>
      <c r="E17" s="145"/>
      <c r="F17" s="146"/>
      <c r="G17" s="14" t="s">
        <v>108</v>
      </c>
      <c r="H17" s="14" t="s">
        <v>37</v>
      </c>
      <c r="I17" s="79">
        <f>'Расчет на срок &gt; 1 мес (мет.1)'!I19</f>
        <v>0.2</v>
      </c>
      <c r="J17" s="8"/>
      <c r="K17" s="65"/>
      <c r="L17" s="66" t="s">
        <v>74</v>
      </c>
    </row>
    <row r="18" spans="2:12" ht="10.5" customHeight="1">
      <c r="B18" s="7"/>
      <c r="C18" s="14">
        <v>4</v>
      </c>
      <c r="D18" s="144" t="s">
        <v>103</v>
      </c>
      <c r="E18" s="145"/>
      <c r="F18" s="146"/>
      <c r="G18" s="14" t="s">
        <v>112</v>
      </c>
      <c r="H18" s="14" t="s">
        <v>36</v>
      </c>
      <c r="I18" s="16">
        <f>IF('Расчет на срок &gt; 1 мес (мет.2)'!I15&lt;90,0,(ROUND(I15*0.1*I16*(1+I17),0)))</f>
        <v>0</v>
      </c>
      <c r="J18" s="8"/>
      <c r="K18" s="65"/>
      <c r="L18" s="66" t="s">
        <v>90</v>
      </c>
    </row>
    <row r="19" spans="2:11" ht="10.5" customHeight="1">
      <c r="B19" s="7"/>
      <c r="C19" s="14">
        <v>5</v>
      </c>
      <c r="D19" s="144" t="s">
        <v>140</v>
      </c>
      <c r="E19" s="145"/>
      <c r="F19" s="146"/>
      <c r="G19" s="14" t="s">
        <v>109</v>
      </c>
      <c r="H19" s="14" t="s">
        <v>141</v>
      </c>
      <c r="I19" s="64">
        <f>'Расчет на срок &lt;1 мес (мет.2)'!I20</f>
        <v>170.8</v>
      </c>
      <c r="J19" s="8"/>
      <c r="K19" s="65"/>
    </row>
    <row r="20" spans="2:11" ht="15" customHeight="1">
      <c r="B20" s="7"/>
      <c r="C20" s="14">
        <v>6</v>
      </c>
      <c r="D20" s="144" t="s">
        <v>106</v>
      </c>
      <c r="E20" s="145"/>
      <c r="F20" s="146"/>
      <c r="G20" s="14" t="s">
        <v>114</v>
      </c>
      <c r="H20" s="14" t="s">
        <v>36</v>
      </c>
      <c r="I20" s="16">
        <f>ROUND(I18/I19*G9,0)</f>
        <v>0</v>
      </c>
      <c r="J20" s="8"/>
      <c r="K20" s="65"/>
    </row>
    <row r="21" spans="2:11" ht="10.5">
      <c r="B21" s="7"/>
      <c r="C21" s="14">
        <v>7</v>
      </c>
      <c r="D21" s="144" t="s">
        <v>116</v>
      </c>
      <c r="E21" s="145"/>
      <c r="F21" s="146"/>
      <c r="G21" s="14"/>
      <c r="H21" s="14" t="s">
        <v>36</v>
      </c>
      <c r="I21" s="16">
        <f>ROUND((I20*I17)/(1+I17),0)</f>
        <v>0</v>
      </c>
      <c r="J21" s="8"/>
      <c r="K21" s="65"/>
    </row>
    <row r="22" spans="2:12" ht="15">
      <c r="B22" s="7"/>
      <c r="C22" s="10"/>
      <c r="D22" s="10"/>
      <c r="E22" s="10"/>
      <c r="F22" s="10"/>
      <c r="G22" s="11"/>
      <c r="H22" s="11"/>
      <c r="I22" s="11"/>
      <c r="J22" s="8"/>
      <c r="L22" s="66"/>
    </row>
    <row r="23" spans="2:10" ht="10.5">
      <c r="B23" s="7"/>
      <c r="C23" s="10"/>
      <c r="D23" s="10"/>
      <c r="E23" s="10"/>
      <c r="F23" s="10"/>
      <c r="G23" s="11"/>
      <c r="H23" s="11"/>
      <c r="I23" s="11"/>
      <c r="J23" s="8"/>
    </row>
    <row r="24" spans="2:10" ht="10.5">
      <c r="B24" s="7"/>
      <c r="C24" s="10"/>
      <c r="D24" s="10"/>
      <c r="E24" s="10"/>
      <c r="F24" s="10"/>
      <c r="G24" s="11"/>
      <c r="H24" s="11"/>
      <c r="I24" s="11"/>
      <c r="J24" s="8"/>
    </row>
    <row r="25" spans="2:10" ht="10.5">
      <c r="B25" s="7"/>
      <c r="C25" s="10" t="s">
        <v>5</v>
      </c>
      <c r="D25" s="10"/>
      <c r="E25" s="151"/>
      <c r="F25" s="151"/>
      <c r="G25" s="153" t="str">
        <f>'Расчет на срок &gt; 1 мес (мет.1)'!G29:H29</f>
        <v>Петрова А.А.</v>
      </c>
      <c r="H25" s="153"/>
      <c r="I25" s="11"/>
      <c r="J25" s="8"/>
    </row>
    <row r="26" spans="2:10" ht="23.25" customHeight="1">
      <c r="B26" s="7"/>
      <c r="C26" s="10"/>
      <c r="D26" s="10"/>
      <c r="E26" s="152" t="s">
        <v>9</v>
      </c>
      <c r="F26" s="152"/>
      <c r="G26" s="71"/>
      <c r="H26" s="71"/>
      <c r="I26" s="11"/>
      <c r="J26" s="8"/>
    </row>
    <row r="27" spans="2:10" ht="10.5">
      <c r="B27" s="7"/>
      <c r="C27" s="10" t="s">
        <v>6</v>
      </c>
      <c r="D27" s="10"/>
      <c r="E27" s="151"/>
      <c r="F27" s="151"/>
      <c r="G27" s="153" t="str">
        <f>'Расчет на срок &gt; 1 мес (мет.2)'!G28:H28</f>
        <v>Сидорова А.А.</v>
      </c>
      <c r="H27" s="153"/>
      <c r="I27" s="11"/>
      <c r="J27" s="8"/>
    </row>
    <row r="28" spans="2:10" ht="10.5">
      <c r="B28" s="7"/>
      <c r="C28" s="10"/>
      <c r="D28" s="10"/>
      <c r="E28" s="152" t="s">
        <v>9</v>
      </c>
      <c r="F28" s="152"/>
      <c r="G28" s="11"/>
      <c r="H28" s="11"/>
      <c r="I28" s="11"/>
      <c r="J28" s="8"/>
    </row>
    <row r="29" spans="2:10" ht="10.5">
      <c r="B29" s="7"/>
      <c r="C29" s="10"/>
      <c r="D29" s="10"/>
      <c r="E29" s="10"/>
      <c r="F29" s="10"/>
      <c r="G29" s="11"/>
      <c r="H29" s="11"/>
      <c r="I29" s="11"/>
      <c r="J29" s="8"/>
    </row>
    <row r="30" spans="2:10" ht="10.5">
      <c r="B30" s="7"/>
      <c r="C30" s="10"/>
      <c r="D30" s="10"/>
      <c r="E30" s="10"/>
      <c r="F30" s="10"/>
      <c r="G30" s="11"/>
      <c r="H30" s="11"/>
      <c r="I30" s="11"/>
      <c r="J30" s="8"/>
    </row>
    <row r="31" spans="1:50" s="22" customFormat="1" ht="10.5">
      <c r="A31" s="18"/>
      <c r="B31" s="19"/>
      <c r="C31" s="20"/>
      <c r="D31" s="20"/>
      <c r="E31" s="20"/>
      <c r="F31" s="20"/>
      <c r="G31" s="20"/>
      <c r="H31" s="20"/>
      <c r="I31" s="20"/>
      <c r="J31" s="21"/>
      <c r="L31" s="1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2:50" ht="11.25" thickBot="1">
      <c r="B32" s="24"/>
      <c r="C32" s="25"/>
      <c r="D32" s="25"/>
      <c r="E32" s="25"/>
      <c r="F32" s="25"/>
      <c r="G32" s="25"/>
      <c r="H32" s="25"/>
      <c r="I32" s="25"/>
      <c r="J32" s="26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14:50" ht="10.5">
      <c r="N33" s="27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9"/>
      <c r="AO33" s="28"/>
      <c r="AP33" s="28"/>
      <c r="AQ33" s="28"/>
      <c r="AR33" s="28"/>
      <c r="AS33" s="28"/>
      <c r="AT33" s="28"/>
      <c r="AU33" s="28"/>
      <c r="AV33" s="28"/>
      <c r="AW33" s="28"/>
      <c r="AX33" s="28"/>
    </row>
    <row r="34" spans="14:50" ht="10.5">
      <c r="N34" s="23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9"/>
      <c r="AJ34" s="29"/>
      <c r="AK34" s="29"/>
      <c r="AL34" s="29"/>
      <c r="AM34" s="29"/>
      <c r="AN34" s="29"/>
      <c r="AO34" s="28"/>
      <c r="AP34" s="28"/>
      <c r="AQ34" s="28"/>
      <c r="AR34" s="28"/>
      <c r="AS34" s="28"/>
      <c r="AT34" s="28"/>
      <c r="AU34" s="28"/>
      <c r="AV34" s="28"/>
      <c r="AW34" s="28"/>
      <c r="AX34" s="28"/>
    </row>
    <row r="35" spans="3:50" ht="10.5">
      <c r="C35" s="30"/>
      <c r="D35" s="30"/>
      <c r="E35" s="30"/>
      <c r="F35" s="30"/>
      <c r="L35" s="22"/>
      <c r="N35" s="27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9"/>
      <c r="AJ35" s="29"/>
      <c r="AK35" s="29"/>
      <c r="AL35" s="29"/>
      <c r="AM35" s="29"/>
      <c r="AN35" s="29"/>
      <c r="AO35" s="28"/>
      <c r="AP35" s="28"/>
      <c r="AQ35" s="28"/>
      <c r="AR35" s="28"/>
      <c r="AS35" s="28"/>
      <c r="AT35" s="28"/>
      <c r="AU35" s="28"/>
      <c r="AV35" s="28"/>
      <c r="AW35" s="28"/>
      <c r="AX35" s="28"/>
    </row>
    <row r="36" spans="3:50" ht="10.5">
      <c r="C36" s="30"/>
      <c r="D36" s="30"/>
      <c r="E36" s="30"/>
      <c r="F36" s="30"/>
      <c r="N36" s="27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9"/>
      <c r="AJ36" s="29"/>
      <c r="AK36" s="29"/>
      <c r="AL36" s="29"/>
      <c r="AM36" s="29"/>
      <c r="AN36" s="29"/>
      <c r="AO36" s="28"/>
      <c r="AP36" s="28"/>
      <c r="AQ36" s="28"/>
      <c r="AR36" s="28"/>
      <c r="AS36" s="28"/>
      <c r="AT36" s="28"/>
      <c r="AU36" s="28"/>
      <c r="AV36" s="28"/>
      <c r="AW36" s="28"/>
      <c r="AX36" s="28"/>
    </row>
    <row r="37" spans="3:50" ht="10.5">
      <c r="C37" s="30"/>
      <c r="D37" s="30"/>
      <c r="E37" s="30"/>
      <c r="F37" s="30"/>
      <c r="N37" s="27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9"/>
      <c r="AJ37" s="29"/>
      <c r="AK37" s="29"/>
      <c r="AL37" s="29"/>
      <c r="AM37" s="29"/>
      <c r="AN37" s="29"/>
      <c r="AO37" s="28"/>
      <c r="AP37" s="28"/>
      <c r="AQ37" s="28"/>
      <c r="AR37" s="28"/>
      <c r="AS37" s="28"/>
      <c r="AT37" s="28"/>
      <c r="AU37" s="28"/>
      <c r="AV37" s="28"/>
      <c r="AW37" s="28"/>
      <c r="AX37" s="28"/>
    </row>
    <row r="38" spans="3:50" ht="10.5">
      <c r="C38" s="30"/>
      <c r="D38" s="30"/>
      <c r="E38" s="30"/>
      <c r="F38" s="30"/>
      <c r="N38" s="27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9"/>
      <c r="AJ38" s="29"/>
      <c r="AK38" s="29"/>
      <c r="AL38" s="29"/>
      <c r="AM38" s="29"/>
      <c r="AN38" s="29"/>
      <c r="AO38" s="28"/>
      <c r="AP38" s="28"/>
      <c r="AQ38" s="28"/>
      <c r="AR38" s="28"/>
      <c r="AS38" s="28"/>
      <c r="AT38" s="28"/>
      <c r="AU38" s="28"/>
      <c r="AV38" s="28"/>
      <c r="AW38" s="28"/>
      <c r="AX38" s="28"/>
    </row>
    <row r="39" spans="3:50" ht="10.5">
      <c r="C39" s="30"/>
      <c r="D39" s="30"/>
      <c r="E39" s="30"/>
      <c r="F39" s="30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9"/>
      <c r="AJ39" s="29"/>
      <c r="AK39" s="29"/>
      <c r="AL39" s="29"/>
      <c r="AM39" s="29"/>
      <c r="AN39" s="29"/>
      <c r="AO39" s="28"/>
      <c r="AP39" s="28"/>
      <c r="AQ39" s="28"/>
      <c r="AR39" s="28"/>
      <c r="AS39" s="28"/>
      <c r="AT39" s="28"/>
      <c r="AU39" s="28"/>
      <c r="AV39" s="28"/>
      <c r="AW39" s="28"/>
      <c r="AX39" s="28"/>
    </row>
    <row r="40" spans="3:50" ht="10.5">
      <c r="C40" s="30"/>
      <c r="D40" s="30"/>
      <c r="E40" s="30"/>
      <c r="F40" s="30"/>
      <c r="N40" s="27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</row>
    <row r="41" spans="3:50" ht="10.5">
      <c r="C41" s="30"/>
      <c r="D41" s="30"/>
      <c r="E41" s="30"/>
      <c r="F41" s="30"/>
      <c r="N41" s="27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</row>
    <row r="42" spans="3:50" ht="10.5">
      <c r="C42" s="30"/>
      <c r="D42" s="30"/>
      <c r="E42" s="30"/>
      <c r="F42" s="30"/>
      <c r="N42" s="27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3:50" ht="10.5">
      <c r="C43" s="30"/>
      <c r="D43" s="30"/>
      <c r="E43" s="30"/>
      <c r="F43" s="30"/>
      <c r="N43" s="27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3:50" ht="10.5">
      <c r="C44" s="30"/>
      <c r="D44" s="30"/>
      <c r="E44" s="30"/>
      <c r="F44" s="30"/>
      <c r="N44" s="27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3:50" ht="10.5">
      <c r="C45" s="30"/>
      <c r="D45" s="30"/>
      <c r="E45" s="30"/>
      <c r="F45" s="30"/>
      <c r="N45" s="2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3:6" ht="10.5">
      <c r="C46" s="30"/>
      <c r="D46" s="30"/>
      <c r="E46" s="30"/>
      <c r="F46" s="30"/>
    </row>
  </sheetData>
  <sheetProtection/>
  <mergeCells count="21">
    <mergeCell ref="E26:F26"/>
    <mergeCell ref="E27:F27"/>
    <mergeCell ref="G27:H27"/>
    <mergeCell ref="E28:F28"/>
    <mergeCell ref="G25:H25"/>
    <mergeCell ref="D19:F19"/>
    <mergeCell ref="D20:F20"/>
    <mergeCell ref="D21:F21"/>
    <mergeCell ref="E25:F25"/>
    <mergeCell ref="C12:I12"/>
    <mergeCell ref="D14:F14"/>
    <mergeCell ref="D15:F15"/>
    <mergeCell ref="D16:F16"/>
    <mergeCell ref="D17:F17"/>
    <mergeCell ref="D18:F18"/>
    <mergeCell ref="G3:H3"/>
    <mergeCell ref="H5:I5"/>
    <mergeCell ref="G6:I6"/>
    <mergeCell ref="C8:I8"/>
    <mergeCell ref="C9:F9"/>
    <mergeCell ref="C11:I11"/>
  </mergeCells>
  <hyperlinks>
    <hyperlink ref="L4" location="Положение!A1" display="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 (Указ от 23.10.2009 № 518)"/>
    <hyperlink ref="L5" location="'Расчет на срок &gt; 1 мес (мет.1)'!A1" display="Расчет суммы арендной платы на срок месяц и более (методика 1)"/>
    <hyperlink ref="L6" location="'Расчет на срок &gt; 1 мес (мет.2)'!A1" display="Расчет суммы арендной платы на срок месяц и более (методика 2)"/>
    <hyperlink ref="L7" location="'Расчет на срок &gt; 1 мес (мет.3)'!A1" display="Расчет суммы арендной платы на срок месяц и более (методика 3)"/>
    <hyperlink ref="L8" location="'Бухгалтерская справка'!A1" display="Бухгалтерская справка о размере фактических затрат по управлению и эксплуатации"/>
    <hyperlink ref="L9" location="'Расчет на срок &lt;1 мес (мет.1)'!A1" display="Расчет суммы арендной платы на срок менее месяца (методика 1)"/>
    <hyperlink ref="L10" location="'Расчет на срок &lt;1 мес (мет.2)'!A1" display="Расчет суммы арендной платы на срок менее месяца (методика 2)"/>
    <hyperlink ref="L11" location="'Расчет на срок &lt;1 мес (мет.3)'!A1" display="Расчет суммы арендной платы на срок менее месяца (методика 3)"/>
    <hyperlink ref="L12" location="'Калькуляция 1 м-часа'!A1" display="Калькуляция стоимости 1 машино-часа управления спецмеханизмом (с топливом)"/>
    <hyperlink ref="L13" location="'Калькуляция 1 м-ч (без топлива)'!A1" display="Калькуляция стоимости 1 машино-часа управления спецмеханизмом (без топлива)"/>
    <hyperlink ref="L14" location="топливо!A1" display="Расчет затрат на топливо за 1 маш.-ч для спецтехники"/>
    <hyperlink ref="L15" location="'смазочные материалы'!A1" display="Расчет затрат на смазочные материалы за 1 маш.час для спецтехники"/>
    <hyperlink ref="L16" location="ЗП!A1" display="Расчет  затрат на заработную плату за 1 маш.-час для спецтехники"/>
    <hyperlink ref="L17" location="'расчет % ОПР'!A1" display="Расчет процента общепроизводственных расходов"/>
    <hyperlink ref="L18" location="'расчет % ОХР'!A1" display="Расчет процента общехозяйственных расходов"/>
  </hyperlinks>
  <printOptions/>
  <pageMargins left="0.7" right="0.7" top="0.75" bottom="0.75" header="0.3" footer="0.3"/>
  <pageSetup horizontalDpi="300" verticalDpi="300" orientation="portrait" paperSize="9" scale="98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X5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0.140625" style="1" customWidth="1"/>
    <col min="5" max="6" width="9.140625" style="1" customWidth="1"/>
    <col min="7" max="7" width="6.28125" style="1" customWidth="1"/>
    <col min="8" max="8" width="16.8515625" style="1" customWidth="1"/>
    <col min="9" max="9" width="24.7109375" style="1" customWidth="1"/>
    <col min="10" max="10" width="4.140625" style="1" customWidth="1"/>
    <col min="11" max="11" width="2.0039062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0.5">
      <c r="B3" s="7"/>
      <c r="C3" s="33"/>
      <c r="D3" s="33"/>
      <c r="E3" s="33"/>
      <c r="F3" s="33"/>
      <c r="G3" s="33"/>
      <c r="H3" s="33" t="s">
        <v>7</v>
      </c>
      <c r="I3" s="33"/>
      <c r="J3" s="8"/>
    </row>
    <row r="4" spans="2:12" ht="15">
      <c r="B4" s="7"/>
      <c r="C4" s="33"/>
      <c r="D4" s="33"/>
      <c r="E4" s="33"/>
      <c r="F4" s="33"/>
      <c r="G4" s="33"/>
      <c r="H4" s="82" t="str">
        <f>'Расчет на срок &gt; 1 мес (мет.1)'!G4</f>
        <v>директор </v>
      </c>
      <c r="I4" s="33" t="str">
        <f>'Расчет на срок &gt; 1 мес (мет.1)'!H4</f>
        <v>РДУП "Автомобильный парк № 555"</v>
      </c>
      <c r="J4" s="8"/>
      <c r="L4" s="66" t="s">
        <v>227</v>
      </c>
    </row>
    <row r="5" spans="2:12" ht="15">
      <c r="B5" s="7"/>
      <c r="C5" s="33"/>
      <c r="D5" s="33"/>
      <c r="E5" s="33"/>
      <c r="F5" s="33"/>
      <c r="G5" s="33"/>
      <c r="H5" s="34"/>
      <c r="I5" s="60" t="str">
        <f>'Расчет на срок &gt; 1 мес (мет.1)'!H5</f>
        <v>Иванов С.Т.</v>
      </c>
      <c r="J5" s="51"/>
      <c r="L5" s="66" t="s">
        <v>176</v>
      </c>
    </row>
    <row r="6" spans="2:12" ht="15">
      <c r="B6" s="7"/>
      <c r="C6" s="33"/>
      <c r="D6" s="33"/>
      <c r="E6" s="33"/>
      <c r="F6" s="33"/>
      <c r="G6" s="33"/>
      <c r="H6" s="59" t="str">
        <f>'Расчет на срок &gt; 1 мес (мет.1)'!G6</f>
        <v>"_____" ______________ 20___ г.</v>
      </c>
      <c r="I6" s="35"/>
      <c r="J6" s="51"/>
      <c r="L6" s="66" t="s">
        <v>177</v>
      </c>
    </row>
    <row r="7" spans="2:12" ht="15">
      <c r="B7" s="7"/>
      <c r="C7" s="33"/>
      <c r="D7" s="33"/>
      <c r="E7" s="33"/>
      <c r="F7" s="33"/>
      <c r="G7" s="33"/>
      <c r="H7" s="35"/>
      <c r="I7" s="35"/>
      <c r="J7" s="8"/>
      <c r="L7" s="66" t="s">
        <v>178</v>
      </c>
    </row>
    <row r="8" spans="2:12" ht="15">
      <c r="B8" s="7"/>
      <c r="C8" s="141" t="s">
        <v>12</v>
      </c>
      <c r="D8" s="141"/>
      <c r="E8" s="141"/>
      <c r="F8" s="141"/>
      <c r="G8" s="141"/>
      <c r="H8" s="141"/>
      <c r="I8" s="141"/>
      <c r="J8" s="8"/>
      <c r="L8" s="66" t="s">
        <v>182</v>
      </c>
    </row>
    <row r="9" spans="2:12" ht="15">
      <c r="B9" s="7"/>
      <c r="C9" s="174" t="s">
        <v>142</v>
      </c>
      <c r="D9" s="174"/>
      <c r="E9" s="174"/>
      <c r="F9" s="174"/>
      <c r="G9" s="174"/>
      <c r="H9" s="174"/>
      <c r="I9" s="174"/>
      <c r="J9" s="8"/>
      <c r="L9" s="66" t="s">
        <v>179</v>
      </c>
    </row>
    <row r="10" spans="2:12" ht="26.25" customHeight="1">
      <c r="B10" s="7"/>
      <c r="C10" s="175" t="str">
        <f>'Расчет на срок &lt;1 мес (мет.1)'!C11:I11</f>
        <v>Бульдозер PR722 Litronic</v>
      </c>
      <c r="D10" s="175"/>
      <c r="E10" s="175"/>
      <c r="F10" s="175"/>
      <c r="G10" s="175"/>
      <c r="H10" s="175"/>
      <c r="I10" s="175"/>
      <c r="J10" s="8"/>
      <c r="L10" s="66" t="s">
        <v>180</v>
      </c>
    </row>
    <row r="11" spans="2:12" ht="15">
      <c r="B11" s="7"/>
      <c r="C11" s="9"/>
      <c r="D11" s="9"/>
      <c r="E11" s="9"/>
      <c r="F11" s="9"/>
      <c r="G11" s="9"/>
      <c r="H11" s="9"/>
      <c r="I11" s="9"/>
      <c r="J11" s="8"/>
      <c r="L11" s="66" t="s">
        <v>181</v>
      </c>
    </row>
    <row r="12" spans="2:12" ht="15">
      <c r="B12" s="7"/>
      <c r="C12" s="10"/>
      <c r="D12" s="10"/>
      <c r="E12" s="10"/>
      <c r="F12" s="11"/>
      <c r="G12" s="11"/>
      <c r="H12" s="11"/>
      <c r="I12" s="11"/>
      <c r="J12" s="8"/>
      <c r="L12" s="66" t="s">
        <v>183</v>
      </c>
    </row>
    <row r="13" spans="2:12" ht="15">
      <c r="B13" s="7"/>
      <c r="C13" s="12" t="s">
        <v>1</v>
      </c>
      <c r="D13" s="168" t="s">
        <v>13</v>
      </c>
      <c r="E13" s="168"/>
      <c r="F13" s="168"/>
      <c r="G13" s="168"/>
      <c r="H13" s="13" t="s">
        <v>14</v>
      </c>
      <c r="I13" s="13" t="s">
        <v>2</v>
      </c>
      <c r="J13" s="8"/>
      <c r="L13" s="66" t="s">
        <v>184</v>
      </c>
    </row>
    <row r="14" spans="2:12" ht="15.75" customHeight="1">
      <c r="B14" s="7"/>
      <c r="C14" s="14">
        <v>1</v>
      </c>
      <c r="D14" s="171" t="s">
        <v>94</v>
      </c>
      <c r="E14" s="172"/>
      <c r="F14" s="172"/>
      <c r="G14" s="173"/>
      <c r="H14" s="39"/>
      <c r="I14" s="49">
        <f>топливо!H14</f>
        <v>58335</v>
      </c>
      <c r="J14" s="8"/>
      <c r="K14" s="65"/>
      <c r="L14" s="66" t="s">
        <v>185</v>
      </c>
    </row>
    <row r="15" spans="2:12" ht="15">
      <c r="B15" s="7"/>
      <c r="C15" s="14">
        <v>2</v>
      </c>
      <c r="D15" s="171" t="s">
        <v>93</v>
      </c>
      <c r="E15" s="172"/>
      <c r="F15" s="172"/>
      <c r="G15" s="173"/>
      <c r="H15" s="39"/>
      <c r="I15" s="16">
        <f>'смазочные материалы'!H19</f>
        <v>15612</v>
      </c>
      <c r="J15" s="8"/>
      <c r="K15" s="65"/>
      <c r="L15" s="66" t="s">
        <v>186</v>
      </c>
    </row>
    <row r="16" spans="2:12" ht="15">
      <c r="B16" s="7"/>
      <c r="C16" s="14">
        <v>3</v>
      </c>
      <c r="D16" s="171" t="s">
        <v>133</v>
      </c>
      <c r="E16" s="172"/>
      <c r="F16" s="172"/>
      <c r="G16" s="173"/>
      <c r="H16" s="39"/>
      <c r="I16" s="16">
        <f>ЗП!O19</f>
        <v>4875</v>
      </c>
      <c r="J16" s="8"/>
      <c r="K16" s="65"/>
      <c r="L16" s="66" t="s">
        <v>188</v>
      </c>
    </row>
    <row r="17" spans="2:12" ht="15">
      <c r="B17" s="7"/>
      <c r="C17" s="14">
        <v>4</v>
      </c>
      <c r="D17" s="171" t="s">
        <v>16</v>
      </c>
      <c r="E17" s="172"/>
      <c r="F17" s="172"/>
      <c r="G17" s="173"/>
      <c r="H17" s="39">
        <v>0.1</v>
      </c>
      <c r="I17" s="16">
        <f>ROUND(I16*H17,0)</f>
        <v>488</v>
      </c>
      <c r="J17" s="8"/>
      <c r="K17" s="65"/>
      <c r="L17" s="66" t="s">
        <v>74</v>
      </c>
    </row>
    <row r="18" spans="2:12" ht="15">
      <c r="B18" s="7"/>
      <c r="C18" s="14">
        <v>5</v>
      </c>
      <c r="D18" s="171" t="s">
        <v>17</v>
      </c>
      <c r="E18" s="172"/>
      <c r="F18" s="172"/>
      <c r="G18" s="173"/>
      <c r="H18" s="39">
        <v>0.34</v>
      </c>
      <c r="I18" s="16">
        <f>ROUND((I16+I17)*H18,0)</f>
        <v>1823</v>
      </c>
      <c r="J18" s="8"/>
      <c r="K18" s="65"/>
      <c r="L18" s="66" t="s">
        <v>90</v>
      </c>
    </row>
    <row r="19" spans="2:11" ht="10.5">
      <c r="B19" s="7"/>
      <c r="C19" s="14">
        <v>6</v>
      </c>
      <c r="D19" s="171" t="s">
        <v>18</v>
      </c>
      <c r="E19" s="172"/>
      <c r="F19" s="172"/>
      <c r="G19" s="173"/>
      <c r="H19" s="39">
        <v>0.002</v>
      </c>
      <c r="I19" s="16">
        <f>ROUND((I16+I17)*H19,0)</f>
        <v>11</v>
      </c>
      <c r="J19" s="8"/>
      <c r="K19" s="65"/>
    </row>
    <row r="20" spans="2:11" ht="10.5">
      <c r="B20" s="7"/>
      <c r="C20" s="14">
        <v>7</v>
      </c>
      <c r="D20" s="171" t="s">
        <v>143</v>
      </c>
      <c r="E20" s="172"/>
      <c r="F20" s="172"/>
      <c r="G20" s="173"/>
      <c r="H20" s="39"/>
      <c r="I20" s="15">
        <v>0</v>
      </c>
      <c r="J20" s="8"/>
      <c r="K20" s="65"/>
    </row>
    <row r="21" spans="2:11" ht="10.5">
      <c r="B21" s="7"/>
      <c r="C21" s="14">
        <v>8</v>
      </c>
      <c r="D21" s="171" t="s">
        <v>144</v>
      </c>
      <c r="E21" s="172"/>
      <c r="F21" s="172"/>
      <c r="G21" s="173"/>
      <c r="H21" s="87">
        <f>'расчет % ОПР'!F29</f>
        <v>0.547325</v>
      </c>
      <c r="I21" s="16">
        <f>ROUND(I16*H21,0)</f>
        <v>2668</v>
      </c>
      <c r="J21" s="8"/>
      <c r="K21" s="65"/>
    </row>
    <row r="22" spans="2:12" ht="15">
      <c r="B22" s="7"/>
      <c r="C22" s="14">
        <v>9</v>
      </c>
      <c r="D22" s="171" t="s">
        <v>19</v>
      </c>
      <c r="E22" s="172"/>
      <c r="F22" s="172"/>
      <c r="G22" s="173"/>
      <c r="H22" s="87">
        <f>'расчет % ОХР'!F33</f>
        <v>0.51364</v>
      </c>
      <c r="I22" s="16">
        <f>ROUND(I16*H22,0)</f>
        <v>2504</v>
      </c>
      <c r="J22" s="8"/>
      <c r="K22" s="65"/>
      <c r="L22" s="66"/>
    </row>
    <row r="23" spans="2:11" ht="10.5">
      <c r="B23" s="7"/>
      <c r="C23" s="14">
        <v>10</v>
      </c>
      <c r="D23" s="171" t="s">
        <v>20</v>
      </c>
      <c r="E23" s="172"/>
      <c r="F23" s="172"/>
      <c r="G23" s="173"/>
      <c r="H23" s="39"/>
      <c r="I23" s="16">
        <f>SUM(I14:I22)</f>
        <v>86316</v>
      </c>
      <c r="J23" s="8"/>
      <c r="K23" s="65"/>
    </row>
    <row r="24" spans="2:11" ht="10.5">
      <c r="B24" s="7"/>
      <c r="C24" s="14">
        <v>11</v>
      </c>
      <c r="D24" s="171" t="s">
        <v>21</v>
      </c>
      <c r="E24" s="172"/>
      <c r="F24" s="172"/>
      <c r="G24" s="173"/>
      <c r="H24" s="39">
        <v>0.0025</v>
      </c>
      <c r="I24" s="16">
        <f>ROUND(I23*H24,0)</f>
        <v>216</v>
      </c>
      <c r="J24" s="8"/>
      <c r="K24" s="65"/>
    </row>
    <row r="25" spans="2:11" ht="10.5">
      <c r="B25" s="7"/>
      <c r="C25" s="14">
        <v>12</v>
      </c>
      <c r="D25" s="171" t="s">
        <v>22</v>
      </c>
      <c r="E25" s="172"/>
      <c r="F25" s="172"/>
      <c r="G25" s="173"/>
      <c r="H25" s="39"/>
      <c r="I25" s="16">
        <f>I23+I24</f>
        <v>86532</v>
      </c>
      <c r="J25" s="8"/>
      <c r="K25" s="65"/>
    </row>
    <row r="26" spans="2:11" ht="10.5">
      <c r="B26" s="7"/>
      <c r="C26" s="14">
        <v>13</v>
      </c>
      <c r="D26" s="171" t="s">
        <v>23</v>
      </c>
      <c r="E26" s="172"/>
      <c r="F26" s="172"/>
      <c r="G26" s="173"/>
      <c r="H26" s="39">
        <v>0.15</v>
      </c>
      <c r="I26" s="16">
        <f>ROUND(I25*H26,0)</f>
        <v>12980</v>
      </c>
      <c r="J26" s="8"/>
      <c r="K26" s="65"/>
    </row>
    <row r="27" spans="2:11" ht="10.5">
      <c r="B27" s="7"/>
      <c r="C27" s="14">
        <v>14</v>
      </c>
      <c r="D27" s="171" t="s">
        <v>24</v>
      </c>
      <c r="E27" s="172"/>
      <c r="F27" s="172"/>
      <c r="G27" s="173"/>
      <c r="H27" s="39"/>
      <c r="I27" s="16">
        <f>I25+I26</f>
        <v>99512</v>
      </c>
      <c r="J27" s="8"/>
      <c r="K27" s="65"/>
    </row>
    <row r="28" spans="2:11" ht="10.5">
      <c r="B28" s="7"/>
      <c r="C28" s="14">
        <v>15</v>
      </c>
      <c r="D28" s="171" t="s">
        <v>25</v>
      </c>
      <c r="E28" s="172"/>
      <c r="F28" s="172"/>
      <c r="G28" s="173"/>
      <c r="H28" s="39">
        <v>0.2</v>
      </c>
      <c r="I28" s="16">
        <f>ROUND(I27*H28,0)</f>
        <v>19902</v>
      </c>
      <c r="J28" s="8"/>
      <c r="K28" s="65"/>
    </row>
    <row r="29" spans="2:11" ht="10.5">
      <c r="B29" s="7"/>
      <c r="C29" s="14">
        <v>16</v>
      </c>
      <c r="D29" s="36" t="s">
        <v>26</v>
      </c>
      <c r="E29" s="37"/>
      <c r="F29" s="37"/>
      <c r="G29" s="38"/>
      <c r="H29" s="39"/>
      <c r="I29" s="17">
        <f>I27+I28</f>
        <v>119414</v>
      </c>
      <c r="J29" s="8"/>
      <c r="K29" s="65"/>
    </row>
    <row r="30" spans="2:11" ht="10.5">
      <c r="B30" s="7"/>
      <c r="C30" s="10"/>
      <c r="D30" s="10"/>
      <c r="E30" s="10"/>
      <c r="F30" s="11"/>
      <c r="G30" s="11"/>
      <c r="H30" s="11"/>
      <c r="I30" s="11"/>
      <c r="J30" s="8"/>
      <c r="K30" s="65"/>
    </row>
    <row r="31" spans="2:10" ht="10.5">
      <c r="B31" s="7"/>
      <c r="C31" s="10"/>
      <c r="D31" s="10"/>
      <c r="E31" s="10"/>
      <c r="F31" s="11"/>
      <c r="G31" s="11"/>
      <c r="H31" s="11"/>
      <c r="I31" s="11"/>
      <c r="J31" s="8"/>
    </row>
    <row r="32" spans="2:10" ht="10.5">
      <c r="B32" s="7"/>
      <c r="C32" s="10" t="s">
        <v>5</v>
      </c>
      <c r="D32" s="10"/>
      <c r="E32" s="151"/>
      <c r="F32" s="151"/>
      <c r="G32" s="161" t="str">
        <f>'Бухгалтерская справка'!G23:H23</f>
        <v>Петрова А.А.</v>
      </c>
      <c r="H32" s="161"/>
      <c r="I32" s="11"/>
      <c r="J32" s="8"/>
    </row>
    <row r="33" spans="2:10" ht="10.5">
      <c r="B33" s="7"/>
      <c r="C33" s="10"/>
      <c r="D33" s="10"/>
      <c r="E33" s="152" t="s">
        <v>9</v>
      </c>
      <c r="F33" s="152"/>
      <c r="G33" s="61"/>
      <c r="H33" s="61"/>
      <c r="I33" s="11"/>
      <c r="J33" s="8"/>
    </row>
    <row r="34" spans="2:10" ht="10.5">
      <c r="B34" s="7"/>
      <c r="C34" s="10" t="s">
        <v>6</v>
      </c>
      <c r="D34" s="10"/>
      <c r="E34" s="151"/>
      <c r="F34" s="151"/>
      <c r="G34" s="161" t="str">
        <f>'Расчет на срок &lt;1 мес (мет.3)'!G27:H27</f>
        <v>Сидорова А.А.</v>
      </c>
      <c r="H34" s="161"/>
      <c r="I34" s="11"/>
      <c r="J34" s="8"/>
    </row>
    <row r="35" spans="2:12" ht="10.5">
      <c r="B35" s="7"/>
      <c r="C35" s="10"/>
      <c r="D35" s="10"/>
      <c r="E35" s="152" t="s">
        <v>9</v>
      </c>
      <c r="F35" s="152"/>
      <c r="G35" s="11"/>
      <c r="H35" s="11"/>
      <c r="I35" s="11"/>
      <c r="J35" s="8"/>
      <c r="L35" s="22"/>
    </row>
    <row r="36" spans="2:10" ht="10.5">
      <c r="B36" s="7"/>
      <c r="C36" s="10"/>
      <c r="D36" s="10"/>
      <c r="E36" s="10"/>
      <c r="F36" s="11"/>
      <c r="G36" s="11"/>
      <c r="H36" s="11"/>
      <c r="I36" s="11"/>
      <c r="J36" s="8"/>
    </row>
    <row r="37" spans="2:10" ht="10.5">
      <c r="B37" s="7"/>
      <c r="C37" s="10"/>
      <c r="D37" s="10"/>
      <c r="E37" s="10"/>
      <c r="F37" s="11"/>
      <c r="G37" s="11"/>
      <c r="H37" s="11"/>
      <c r="I37" s="11"/>
      <c r="J37" s="8"/>
    </row>
    <row r="38" spans="1:50" s="22" customFormat="1" ht="10.5">
      <c r="A38" s="18"/>
      <c r="B38" s="19"/>
      <c r="C38" s="20"/>
      <c r="D38" s="20"/>
      <c r="E38" s="20"/>
      <c r="F38" s="20"/>
      <c r="G38" s="20"/>
      <c r="H38" s="20"/>
      <c r="I38" s="20"/>
      <c r="J38" s="21"/>
      <c r="L38" s="1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2:50" ht="11.25" thickBot="1">
      <c r="B39" s="24"/>
      <c r="C39" s="25"/>
      <c r="D39" s="25"/>
      <c r="E39" s="25"/>
      <c r="F39" s="25"/>
      <c r="G39" s="25"/>
      <c r="H39" s="25"/>
      <c r="I39" s="25"/>
      <c r="J39" s="26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4:50" ht="10.5">
      <c r="N40" s="27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9"/>
      <c r="AO40" s="28"/>
      <c r="AP40" s="28"/>
      <c r="AQ40" s="28"/>
      <c r="AR40" s="28"/>
      <c r="AS40" s="28"/>
      <c r="AT40" s="28"/>
      <c r="AU40" s="28"/>
      <c r="AV40" s="28"/>
      <c r="AW40" s="28"/>
      <c r="AX40" s="28"/>
    </row>
    <row r="41" spans="14:50" ht="10.5">
      <c r="N41" s="23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9"/>
      <c r="AJ41" s="29"/>
      <c r="AK41" s="29"/>
      <c r="AL41" s="29"/>
      <c r="AM41" s="29"/>
      <c r="AN41" s="29"/>
      <c r="AO41" s="28"/>
      <c r="AP41" s="28"/>
      <c r="AQ41" s="28"/>
      <c r="AR41" s="28"/>
      <c r="AS41" s="28"/>
      <c r="AT41" s="28"/>
      <c r="AU41" s="28"/>
      <c r="AV41" s="28"/>
      <c r="AW41" s="28"/>
      <c r="AX41" s="28"/>
    </row>
    <row r="42" spans="3:50" ht="10.5">
      <c r="C42" s="30"/>
      <c r="D42" s="30"/>
      <c r="N42" s="27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9"/>
      <c r="AJ42" s="29"/>
      <c r="AK42" s="29"/>
      <c r="AL42" s="29"/>
      <c r="AM42" s="29"/>
      <c r="AN42" s="29"/>
      <c r="AO42" s="28"/>
      <c r="AP42" s="28"/>
      <c r="AQ42" s="28"/>
      <c r="AR42" s="28"/>
      <c r="AS42" s="28"/>
      <c r="AT42" s="28"/>
      <c r="AU42" s="28"/>
      <c r="AV42" s="28"/>
      <c r="AW42" s="28"/>
      <c r="AX42" s="28"/>
    </row>
    <row r="43" spans="3:50" ht="10.5">
      <c r="C43" s="30"/>
      <c r="D43" s="30"/>
      <c r="N43" s="27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9"/>
      <c r="AJ43" s="29"/>
      <c r="AK43" s="29"/>
      <c r="AL43" s="29"/>
      <c r="AM43" s="29"/>
      <c r="AN43" s="29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3:50" ht="10.5">
      <c r="C44" s="30"/>
      <c r="D44" s="30"/>
      <c r="N44" s="27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9"/>
      <c r="AJ44" s="29"/>
      <c r="AK44" s="29"/>
      <c r="AL44" s="29"/>
      <c r="AM44" s="29"/>
      <c r="AN44" s="29"/>
      <c r="AO44" s="28"/>
      <c r="AP44" s="28"/>
      <c r="AQ44" s="28"/>
      <c r="AR44" s="28"/>
      <c r="AS44" s="28"/>
      <c r="AT44" s="28"/>
      <c r="AU44" s="28"/>
      <c r="AV44" s="28"/>
      <c r="AW44" s="28"/>
      <c r="AX44" s="28"/>
    </row>
    <row r="45" spans="3:50" ht="10.5">
      <c r="C45" s="30"/>
      <c r="D45" s="30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  <c r="AJ45" s="29"/>
      <c r="AK45" s="29"/>
      <c r="AL45" s="29"/>
      <c r="AM45" s="29"/>
      <c r="AN45" s="29"/>
      <c r="AO45" s="28"/>
      <c r="AP45" s="28"/>
      <c r="AQ45" s="28"/>
      <c r="AR45" s="28"/>
      <c r="AS45" s="28"/>
      <c r="AT45" s="28"/>
      <c r="AU45" s="28"/>
      <c r="AV45" s="28"/>
      <c r="AW45" s="28"/>
      <c r="AX45" s="28"/>
    </row>
    <row r="46" spans="3:50" ht="10.5">
      <c r="C46" s="30"/>
      <c r="D46" s="30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9"/>
      <c r="AJ46" s="29"/>
      <c r="AK46" s="29"/>
      <c r="AL46" s="29"/>
      <c r="AM46" s="29"/>
      <c r="AN46" s="29"/>
      <c r="AO46" s="28"/>
      <c r="AP46" s="28"/>
      <c r="AQ46" s="28"/>
      <c r="AR46" s="28"/>
      <c r="AS46" s="28"/>
      <c r="AT46" s="28"/>
      <c r="AU46" s="28"/>
      <c r="AV46" s="28"/>
      <c r="AW46" s="28"/>
      <c r="AX46" s="28"/>
    </row>
    <row r="47" spans="3:50" ht="10.5">
      <c r="C47" s="30"/>
      <c r="D47" s="30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9"/>
      <c r="AJ47" s="29"/>
      <c r="AK47" s="29"/>
      <c r="AL47" s="29"/>
      <c r="AM47" s="29"/>
      <c r="AN47" s="29"/>
      <c r="AO47" s="28"/>
      <c r="AP47" s="28"/>
      <c r="AQ47" s="28"/>
      <c r="AR47" s="28"/>
      <c r="AS47" s="28"/>
      <c r="AT47" s="28"/>
      <c r="AU47" s="28"/>
      <c r="AV47" s="28"/>
      <c r="AW47" s="28"/>
      <c r="AX47" s="28"/>
    </row>
    <row r="48" spans="3:50" ht="10.5">
      <c r="C48" s="30"/>
      <c r="D48" s="30"/>
      <c r="N48" s="27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3:50" ht="10.5">
      <c r="C49" s="30"/>
      <c r="D49" s="30"/>
      <c r="N49" s="27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3:50" ht="10.5">
      <c r="C50" s="30"/>
      <c r="D50" s="30"/>
      <c r="N50" s="27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3:50" ht="10.5">
      <c r="C51" s="30"/>
      <c r="D51" s="30"/>
      <c r="N51" s="27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</row>
    <row r="52" spans="3:50" ht="10.5">
      <c r="C52" s="30"/>
      <c r="D52" s="30"/>
      <c r="N52" s="27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3:50" ht="10.5">
      <c r="C53" s="30"/>
      <c r="D53" s="30"/>
      <c r="N53" s="27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</row>
    <row r="54" spans="3:4" ht="10.5">
      <c r="C54" s="30"/>
      <c r="D54" s="30"/>
    </row>
  </sheetData>
  <sheetProtection/>
  <mergeCells count="25">
    <mergeCell ref="C8:I8"/>
    <mergeCell ref="C9:I9"/>
    <mergeCell ref="C10:I10"/>
    <mergeCell ref="D13:G13"/>
    <mergeCell ref="D23:G23"/>
    <mergeCell ref="E35:F35"/>
    <mergeCell ref="E32:F32"/>
    <mergeCell ref="G32:H32"/>
    <mergeCell ref="D20:G20"/>
    <mergeCell ref="D21:G21"/>
    <mergeCell ref="D22:G22"/>
    <mergeCell ref="D28:G28"/>
    <mergeCell ref="D14:G14"/>
    <mergeCell ref="D15:G15"/>
    <mergeCell ref="D16:G16"/>
    <mergeCell ref="D17:G17"/>
    <mergeCell ref="D18:G18"/>
    <mergeCell ref="D19:G19"/>
    <mergeCell ref="E33:F33"/>
    <mergeCell ref="E34:F34"/>
    <mergeCell ref="G34:H34"/>
    <mergeCell ref="D24:G24"/>
    <mergeCell ref="D25:G25"/>
    <mergeCell ref="D26:G26"/>
    <mergeCell ref="D27:G27"/>
  </mergeCells>
  <hyperlinks>
    <hyperlink ref="L4" location="Положение!A1" display="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 (Указ от 23.10.2009 № 518)"/>
    <hyperlink ref="L5" location="'Расчет на срок &gt; 1 мес (мет.1)'!A1" display="Расчет суммы арендной платы на срок месяц и более (методика 1)"/>
    <hyperlink ref="L6" location="'Расчет на срок &gt; 1 мес (мет.2)'!A1" display="Расчет суммы арендной платы на срок месяц и более (методика 2)"/>
    <hyperlink ref="L7" location="'Расчет на срок &gt; 1 мес (мет.3)'!A1" display="Расчет суммы арендной платы на срок месяц и более (методика 3)"/>
    <hyperlink ref="L8" location="'Бухгалтерская справка'!A1" display="Бухгалтерская справка о размере фактических затрат по управлению и эксплуатации"/>
    <hyperlink ref="L9" location="'Расчет на срок &lt;1 мес (мет.1)'!A1" display="Расчет суммы арендной платы на срок менее месяца (методика 1)"/>
    <hyperlink ref="L10" location="'Расчет на срок &lt;1 мес (мет.2)'!A1" display="Расчет суммы арендной платы на срок менее месяца (методика 2)"/>
    <hyperlink ref="L11" location="'Расчет на срок &lt;1 мес (мет.3)'!A1" display="Расчет суммы арендной платы на срок менее месяца (методика 3)"/>
    <hyperlink ref="L12" location="'Калькуляция 1 м-часа'!A1" display="Калькуляция стоимости 1 машино-часа управления спецмеханизмом (с топливом)"/>
    <hyperlink ref="L13" location="'Калькуляция 1 м-ч (без топлива)'!A1" display="Калькуляция стоимости 1 машино-часа управления спецмеханизмом (без топлива)"/>
    <hyperlink ref="L14" location="топливо!A1" display="Расчет затрат на топливо за 1 маш.-ч для спецтехники"/>
    <hyperlink ref="L15" location="'смазочные материалы'!A1" display="Расчет затрат на смазочные материалы за 1 маш.час для спецтехники"/>
    <hyperlink ref="L16" location="ЗП!A1" display="Расчет  затрат на заработную плату за 1 маш.-час для спецтехники"/>
    <hyperlink ref="L17" location="'расчет % ОПР'!A1" display="Расчет процента общепроизводственных расходов"/>
    <hyperlink ref="L18" location="'расчет % ОХР'!A1" display="Расчет процента общехозяйственных расходов"/>
  </hyperlinks>
  <printOptions/>
  <pageMargins left="0.7" right="0.7" top="0.75" bottom="0.75" header="0.3" footer="0.3"/>
  <pageSetup horizontalDpi="600" verticalDpi="600" orientation="portrait" paperSize="9" scale="97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0" min="1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X5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140625" style="3" customWidth="1"/>
    <col min="2" max="2" width="3.57421875" style="1" customWidth="1"/>
    <col min="3" max="3" width="5.421875" style="1" customWidth="1"/>
    <col min="4" max="4" width="10.140625" style="1" customWidth="1"/>
    <col min="5" max="6" width="9.140625" style="1" customWidth="1"/>
    <col min="7" max="7" width="7.57421875" style="1" customWidth="1"/>
    <col min="8" max="8" width="16.8515625" style="1" customWidth="1"/>
    <col min="9" max="9" width="24.7109375" style="1" customWidth="1"/>
    <col min="10" max="10" width="4.140625" style="1" customWidth="1"/>
    <col min="11" max="11" width="2.00390625" style="1" customWidth="1"/>
    <col min="12" max="12" width="73.28125" style="1" customWidth="1"/>
    <col min="13" max="16384" width="9.140625" style="1" customWidth="1"/>
  </cols>
  <sheetData>
    <row r="1" spans="1:2" ht="11.25" thickBot="1">
      <c r="A1" s="1"/>
      <c r="B1" s="2" t="s">
        <v>0</v>
      </c>
    </row>
    <row r="2" spans="2:10" ht="10.5">
      <c r="B2" s="4"/>
      <c r="C2" s="5"/>
      <c r="D2" s="5"/>
      <c r="E2" s="5"/>
      <c r="F2" s="5"/>
      <c r="G2" s="5"/>
      <c r="H2" s="5"/>
      <c r="I2" s="5"/>
      <c r="J2" s="6"/>
    </row>
    <row r="3" spans="2:10" ht="10.5">
      <c r="B3" s="7"/>
      <c r="C3" s="33"/>
      <c r="D3" s="33"/>
      <c r="E3" s="33"/>
      <c r="F3" s="33"/>
      <c r="G3" s="33"/>
      <c r="H3" s="33" t="s">
        <v>7</v>
      </c>
      <c r="I3" s="33"/>
      <c r="J3" s="8"/>
    </row>
    <row r="4" spans="2:12" ht="15">
      <c r="B4" s="7"/>
      <c r="C4" s="33"/>
      <c r="D4" s="33"/>
      <c r="E4" s="33"/>
      <c r="F4" s="33"/>
      <c r="G4" s="33"/>
      <c r="H4" s="82" t="str">
        <f>'Расчет на срок &gt; 1 мес (мет.1)'!G4</f>
        <v>директор </v>
      </c>
      <c r="I4" s="33" t="str">
        <f>'Расчет на срок &gt; 1 мес (мет.1)'!H4</f>
        <v>РДУП "Автомобильный парк № 555"</v>
      </c>
      <c r="J4" s="8"/>
      <c r="L4" s="66" t="s">
        <v>227</v>
      </c>
    </row>
    <row r="5" spans="2:12" ht="15">
      <c r="B5" s="7"/>
      <c r="C5" s="33"/>
      <c r="D5" s="33"/>
      <c r="E5" s="33"/>
      <c r="F5" s="33"/>
      <c r="G5" s="33"/>
      <c r="H5" s="34"/>
      <c r="I5" s="60" t="str">
        <f>'Расчет на срок &gt; 1 мес (мет.1)'!H5</f>
        <v>Иванов С.Т.</v>
      </c>
      <c r="J5" s="51"/>
      <c r="L5" s="66" t="s">
        <v>176</v>
      </c>
    </row>
    <row r="6" spans="2:12" ht="15">
      <c r="B6" s="7"/>
      <c r="C6" s="33"/>
      <c r="D6" s="33"/>
      <c r="E6" s="33"/>
      <c r="F6" s="33"/>
      <c r="G6" s="33"/>
      <c r="H6" s="59" t="str">
        <f>'Расчет на срок &gt; 1 мес (мет.1)'!G6</f>
        <v>"_____" ______________ 20___ г.</v>
      </c>
      <c r="I6" s="35"/>
      <c r="J6" s="51"/>
      <c r="L6" s="66" t="s">
        <v>177</v>
      </c>
    </row>
    <row r="7" spans="2:12" ht="15">
      <c r="B7" s="7"/>
      <c r="C7" s="33"/>
      <c r="D7" s="33"/>
      <c r="E7" s="33"/>
      <c r="F7" s="33"/>
      <c r="G7" s="33"/>
      <c r="H7" s="35"/>
      <c r="I7" s="35"/>
      <c r="J7" s="8"/>
      <c r="L7" s="66" t="s">
        <v>178</v>
      </c>
    </row>
    <row r="8" spans="2:12" ht="15">
      <c r="B8" s="7"/>
      <c r="C8" s="141" t="s">
        <v>12</v>
      </c>
      <c r="D8" s="141"/>
      <c r="E8" s="141"/>
      <c r="F8" s="141"/>
      <c r="G8" s="141"/>
      <c r="H8" s="141"/>
      <c r="I8" s="141"/>
      <c r="J8" s="8"/>
      <c r="L8" s="66" t="s">
        <v>182</v>
      </c>
    </row>
    <row r="9" spans="2:12" ht="15">
      <c r="B9" s="7"/>
      <c r="C9" s="174" t="s">
        <v>142</v>
      </c>
      <c r="D9" s="174"/>
      <c r="E9" s="174"/>
      <c r="F9" s="174"/>
      <c r="G9" s="174"/>
      <c r="H9" s="174"/>
      <c r="I9" s="174"/>
      <c r="J9" s="8"/>
      <c r="L9" s="66" t="s">
        <v>179</v>
      </c>
    </row>
    <row r="10" spans="2:12" ht="26.25" customHeight="1">
      <c r="B10" s="7"/>
      <c r="C10" s="175" t="str">
        <f>'Расчет на срок &lt;1 мес (мет.1)'!C11:I11</f>
        <v>Бульдозер PR722 Litronic</v>
      </c>
      <c r="D10" s="175"/>
      <c r="E10" s="175"/>
      <c r="F10" s="175"/>
      <c r="G10" s="175"/>
      <c r="H10" s="175"/>
      <c r="I10" s="175"/>
      <c r="J10" s="8"/>
      <c r="L10" s="66" t="s">
        <v>180</v>
      </c>
    </row>
    <row r="11" spans="2:12" ht="15">
      <c r="B11" s="7"/>
      <c r="C11" s="9"/>
      <c r="D11" s="9"/>
      <c r="E11" s="9"/>
      <c r="F11" s="9"/>
      <c r="G11" s="9"/>
      <c r="H11" s="9"/>
      <c r="I11" s="9"/>
      <c r="J11" s="8"/>
      <c r="L11" s="66" t="s">
        <v>181</v>
      </c>
    </row>
    <row r="12" spans="2:12" ht="15">
      <c r="B12" s="7"/>
      <c r="C12" s="10"/>
      <c r="D12" s="10"/>
      <c r="E12" s="10"/>
      <c r="F12" s="11"/>
      <c r="G12" s="11"/>
      <c r="H12" s="11"/>
      <c r="I12" s="11"/>
      <c r="J12" s="8"/>
      <c r="L12" s="66" t="s">
        <v>183</v>
      </c>
    </row>
    <row r="13" spans="2:12" ht="15">
      <c r="B13" s="7"/>
      <c r="C13" s="12" t="s">
        <v>1</v>
      </c>
      <c r="D13" s="168" t="s">
        <v>13</v>
      </c>
      <c r="E13" s="168"/>
      <c r="F13" s="168"/>
      <c r="G13" s="168"/>
      <c r="H13" s="13" t="s">
        <v>14</v>
      </c>
      <c r="I13" s="13" t="s">
        <v>2</v>
      </c>
      <c r="J13" s="8"/>
      <c r="L13" s="66" t="s">
        <v>184</v>
      </c>
    </row>
    <row r="14" spans="2:12" ht="15.75" customHeight="1">
      <c r="B14" s="7"/>
      <c r="C14" s="14">
        <v>1</v>
      </c>
      <c r="D14" s="171" t="s">
        <v>94</v>
      </c>
      <c r="E14" s="172"/>
      <c r="F14" s="172"/>
      <c r="G14" s="173"/>
      <c r="H14" s="39"/>
      <c r="I14" s="94">
        <v>0</v>
      </c>
      <c r="J14" s="8"/>
      <c r="K14" s="65"/>
      <c r="L14" s="66" t="s">
        <v>185</v>
      </c>
    </row>
    <row r="15" spans="2:12" ht="15">
      <c r="B15" s="7"/>
      <c r="C15" s="14">
        <v>2</v>
      </c>
      <c r="D15" s="171" t="s">
        <v>93</v>
      </c>
      <c r="E15" s="172"/>
      <c r="F15" s="172"/>
      <c r="G15" s="173"/>
      <c r="H15" s="39"/>
      <c r="I15" s="16">
        <f>'смазочные материалы'!H19</f>
        <v>15612</v>
      </c>
      <c r="J15" s="8"/>
      <c r="K15" s="65"/>
      <c r="L15" s="66" t="s">
        <v>186</v>
      </c>
    </row>
    <row r="16" spans="2:12" ht="15">
      <c r="B16" s="7"/>
      <c r="C16" s="14">
        <v>3</v>
      </c>
      <c r="D16" s="171" t="s">
        <v>133</v>
      </c>
      <c r="E16" s="172"/>
      <c r="F16" s="172"/>
      <c r="G16" s="173"/>
      <c r="H16" s="39"/>
      <c r="I16" s="16">
        <f>ЗП!O19</f>
        <v>4875</v>
      </c>
      <c r="J16" s="8"/>
      <c r="K16" s="65"/>
      <c r="L16" s="66" t="s">
        <v>188</v>
      </c>
    </row>
    <row r="17" spans="2:12" ht="15">
      <c r="B17" s="7"/>
      <c r="C17" s="14">
        <v>4</v>
      </c>
      <c r="D17" s="171" t="s">
        <v>16</v>
      </c>
      <c r="E17" s="172"/>
      <c r="F17" s="172"/>
      <c r="G17" s="173"/>
      <c r="H17" s="39">
        <v>0.1</v>
      </c>
      <c r="I17" s="16">
        <f>ROUND(I16*H17,0)</f>
        <v>488</v>
      </c>
      <c r="J17" s="8"/>
      <c r="K17" s="65"/>
      <c r="L17" s="66" t="s">
        <v>74</v>
      </c>
    </row>
    <row r="18" spans="2:12" ht="15">
      <c r="B18" s="7"/>
      <c r="C18" s="14">
        <v>5</v>
      </c>
      <c r="D18" s="171" t="s">
        <v>17</v>
      </c>
      <c r="E18" s="172"/>
      <c r="F18" s="172"/>
      <c r="G18" s="173"/>
      <c r="H18" s="39">
        <v>0.34</v>
      </c>
      <c r="I18" s="16">
        <f>ROUND((I16+I17)*H18,0)</f>
        <v>1823</v>
      </c>
      <c r="J18" s="8"/>
      <c r="K18" s="65"/>
      <c r="L18" s="66" t="s">
        <v>90</v>
      </c>
    </row>
    <row r="19" spans="2:11" ht="10.5">
      <c r="B19" s="7"/>
      <c r="C19" s="14">
        <v>6</v>
      </c>
      <c r="D19" s="171" t="s">
        <v>18</v>
      </c>
      <c r="E19" s="172"/>
      <c r="F19" s="172"/>
      <c r="G19" s="173"/>
      <c r="H19" s="39">
        <v>0.002</v>
      </c>
      <c r="I19" s="16">
        <f>ROUND((I16+I17)*H19,0)</f>
        <v>11</v>
      </c>
      <c r="J19" s="8"/>
      <c r="K19" s="65"/>
    </row>
    <row r="20" spans="2:11" ht="10.5">
      <c r="B20" s="7"/>
      <c r="C20" s="14">
        <v>7</v>
      </c>
      <c r="D20" s="171" t="s">
        <v>143</v>
      </c>
      <c r="E20" s="172"/>
      <c r="F20" s="172"/>
      <c r="G20" s="173"/>
      <c r="H20" s="39"/>
      <c r="I20" s="15">
        <v>0</v>
      </c>
      <c r="J20" s="8"/>
      <c r="K20" s="65"/>
    </row>
    <row r="21" spans="2:11" ht="10.5">
      <c r="B21" s="7"/>
      <c r="C21" s="14">
        <v>8</v>
      </c>
      <c r="D21" s="171" t="s">
        <v>144</v>
      </c>
      <c r="E21" s="172"/>
      <c r="F21" s="172"/>
      <c r="G21" s="173"/>
      <c r="H21" s="87">
        <f>'расчет % ОПР'!F29</f>
        <v>0.547325</v>
      </c>
      <c r="I21" s="16">
        <f>ROUND(I16*H21,0)</f>
        <v>2668</v>
      </c>
      <c r="J21" s="8"/>
      <c r="K21" s="65"/>
    </row>
    <row r="22" spans="2:12" ht="15">
      <c r="B22" s="7"/>
      <c r="C22" s="14">
        <v>9</v>
      </c>
      <c r="D22" s="171" t="s">
        <v>19</v>
      </c>
      <c r="E22" s="172"/>
      <c r="F22" s="172"/>
      <c r="G22" s="173"/>
      <c r="H22" s="87">
        <f>'расчет % ОХР'!F33</f>
        <v>0.51364</v>
      </c>
      <c r="I22" s="16">
        <f>ROUND(I16*H22,0)</f>
        <v>2504</v>
      </c>
      <c r="J22" s="8"/>
      <c r="K22" s="65"/>
      <c r="L22" s="66"/>
    </row>
    <row r="23" spans="2:11" ht="10.5">
      <c r="B23" s="7"/>
      <c r="C23" s="14">
        <v>10</v>
      </c>
      <c r="D23" s="171" t="s">
        <v>20</v>
      </c>
      <c r="E23" s="172"/>
      <c r="F23" s="172"/>
      <c r="G23" s="173"/>
      <c r="H23" s="39"/>
      <c r="I23" s="16">
        <f>SUM(I14:I22)</f>
        <v>27981</v>
      </c>
      <c r="J23" s="8"/>
      <c r="K23" s="65"/>
    </row>
    <row r="24" spans="2:11" ht="10.5">
      <c r="B24" s="7"/>
      <c r="C24" s="14">
        <v>11</v>
      </c>
      <c r="D24" s="171" t="s">
        <v>21</v>
      </c>
      <c r="E24" s="172"/>
      <c r="F24" s="172"/>
      <c r="G24" s="173"/>
      <c r="H24" s="39">
        <v>0.0025</v>
      </c>
      <c r="I24" s="16">
        <f>ROUND(I23*H24,0)</f>
        <v>70</v>
      </c>
      <c r="J24" s="8"/>
      <c r="K24" s="65"/>
    </row>
    <row r="25" spans="2:11" ht="10.5">
      <c r="B25" s="7"/>
      <c r="C25" s="14">
        <v>12</v>
      </c>
      <c r="D25" s="171" t="s">
        <v>22</v>
      </c>
      <c r="E25" s="172"/>
      <c r="F25" s="172"/>
      <c r="G25" s="173"/>
      <c r="H25" s="39"/>
      <c r="I25" s="16">
        <f>I23+I24</f>
        <v>28051</v>
      </c>
      <c r="J25" s="8"/>
      <c r="K25" s="65"/>
    </row>
    <row r="26" spans="2:11" ht="10.5">
      <c r="B26" s="7"/>
      <c r="C26" s="14">
        <v>13</v>
      </c>
      <c r="D26" s="171" t="s">
        <v>23</v>
      </c>
      <c r="E26" s="172"/>
      <c r="F26" s="172"/>
      <c r="G26" s="173"/>
      <c r="H26" s="39">
        <v>0.15</v>
      </c>
      <c r="I26" s="16">
        <f>ROUND(I25*H26,0)</f>
        <v>4208</v>
      </c>
      <c r="J26" s="8"/>
      <c r="K26" s="65"/>
    </row>
    <row r="27" spans="2:11" ht="10.5">
      <c r="B27" s="7"/>
      <c r="C27" s="14">
        <v>14</v>
      </c>
      <c r="D27" s="171" t="s">
        <v>24</v>
      </c>
      <c r="E27" s="172"/>
      <c r="F27" s="172"/>
      <c r="G27" s="173"/>
      <c r="H27" s="39"/>
      <c r="I27" s="16">
        <f>I25+I26</f>
        <v>32259</v>
      </c>
      <c r="J27" s="8"/>
      <c r="K27" s="65"/>
    </row>
    <row r="28" spans="2:11" ht="10.5">
      <c r="B28" s="7"/>
      <c r="C28" s="14">
        <v>15</v>
      </c>
      <c r="D28" s="171" t="s">
        <v>25</v>
      </c>
      <c r="E28" s="172"/>
      <c r="F28" s="172"/>
      <c r="G28" s="173"/>
      <c r="H28" s="39">
        <v>0.2</v>
      </c>
      <c r="I28" s="16">
        <f>ROUND(I27*H28,0)</f>
        <v>6452</v>
      </c>
      <c r="J28" s="8"/>
      <c r="K28" s="65"/>
    </row>
    <row r="29" spans="2:11" ht="10.5">
      <c r="B29" s="7"/>
      <c r="C29" s="14">
        <v>16</v>
      </c>
      <c r="D29" s="36" t="s">
        <v>26</v>
      </c>
      <c r="E29" s="37"/>
      <c r="F29" s="37"/>
      <c r="G29" s="38"/>
      <c r="H29" s="39"/>
      <c r="I29" s="17">
        <f>I27+I28</f>
        <v>38711</v>
      </c>
      <c r="J29" s="8"/>
      <c r="K29" s="65"/>
    </row>
    <row r="30" spans="2:11" ht="10.5">
      <c r="B30" s="7"/>
      <c r="C30" s="10"/>
      <c r="D30" s="10"/>
      <c r="E30" s="10"/>
      <c r="F30" s="11"/>
      <c r="G30" s="11"/>
      <c r="H30" s="11"/>
      <c r="I30" s="11"/>
      <c r="J30" s="8"/>
      <c r="K30" s="65"/>
    </row>
    <row r="31" spans="2:10" ht="10.5">
      <c r="B31" s="7"/>
      <c r="C31" s="10"/>
      <c r="D31" s="10"/>
      <c r="E31" s="10"/>
      <c r="F31" s="11"/>
      <c r="G31" s="11"/>
      <c r="H31" s="11"/>
      <c r="I31" s="11"/>
      <c r="J31" s="8"/>
    </row>
    <row r="32" spans="2:10" ht="10.5">
      <c r="B32" s="7"/>
      <c r="C32" s="10" t="s">
        <v>5</v>
      </c>
      <c r="D32" s="10"/>
      <c r="E32" s="151"/>
      <c r="F32" s="151"/>
      <c r="G32" s="161" t="str">
        <f>'Бухгалтерская справка'!G23:H23</f>
        <v>Петрова А.А.</v>
      </c>
      <c r="H32" s="161"/>
      <c r="I32" s="11"/>
      <c r="J32" s="8"/>
    </row>
    <row r="33" spans="2:10" ht="10.5">
      <c r="B33" s="7"/>
      <c r="C33" s="10"/>
      <c r="D33" s="10"/>
      <c r="E33" s="152" t="s">
        <v>9</v>
      </c>
      <c r="F33" s="152"/>
      <c r="G33" s="61"/>
      <c r="H33" s="61"/>
      <c r="I33" s="11"/>
      <c r="J33" s="8"/>
    </row>
    <row r="34" spans="2:10" ht="10.5">
      <c r="B34" s="7"/>
      <c r="C34" s="10" t="s">
        <v>6</v>
      </c>
      <c r="D34" s="10"/>
      <c r="E34" s="151"/>
      <c r="F34" s="151"/>
      <c r="G34" s="161" t="str">
        <f>'Расчет на срок &lt;1 мес (мет.3)'!G27:H27</f>
        <v>Сидорова А.А.</v>
      </c>
      <c r="H34" s="161"/>
      <c r="I34" s="11"/>
      <c r="J34" s="8"/>
    </row>
    <row r="35" spans="2:12" ht="10.5">
      <c r="B35" s="7"/>
      <c r="C35" s="10"/>
      <c r="D35" s="10"/>
      <c r="E35" s="152" t="s">
        <v>9</v>
      </c>
      <c r="F35" s="152"/>
      <c r="G35" s="11"/>
      <c r="H35" s="11"/>
      <c r="I35" s="11"/>
      <c r="J35" s="8"/>
      <c r="L35" s="22"/>
    </row>
    <row r="36" spans="2:10" ht="10.5">
      <c r="B36" s="7"/>
      <c r="C36" s="10"/>
      <c r="D36" s="10"/>
      <c r="E36" s="10"/>
      <c r="F36" s="11"/>
      <c r="G36" s="11"/>
      <c r="H36" s="11"/>
      <c r="I36" s="11"/>
      <c r="J36" s="8"/>
    </row>
    <row r="37" spans="2:10" ht="10.5">
      <c r="B37" s="7"/>
      <c r="C37" s="10"/>
      <c r="D37" s="10"/>
      <c r="E37" s="10"/>
      <c r="F37" s="11"/>
      <c r="G37" s="11"/>
      <c r="H37" s="11"/>
      <c r="I37" s="11"/>
      <c r="J37" s="8"/>
    </row>
    <row r="38" spans="1:50" s="22" customFormat="1" ht="10.5">
      <c r="A38" s="18"/>
      <c r="B38" s="19"/>
      <c r="C38" s="20"/>
      <c r="D38" s="20"/>
      <c r="E38" s="20"/>
      <c r="F38" s="20"/>
      <c r="G38" s="20"/>
      <c r="H38" s="20"/>
      <c r="I38" s="20"/>
      <c r="J38" s="21"/>
      <c r="L38" s="1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2:50" ht="11.25" thickBot="1">
      <c r="B39" s="24"/>
      <c r="C39" s="25"/>
      <c r="D39" s="25"/>
      <c r="E39" s="25"/>
      <c r="F39" s="25"/>
      <c r="G39" s="25"/>
      <c r="H39" s="25"/>
      <c r="I39" s="25"/>
      <c r="J39" s="26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  <row r="40" spans="14:50" ht="10.5">
      <c r="N40" s="27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9"/>
      <c r="AO40" s="28"/>
      <c r="AP40" s="28"/>
      <c r="AQ40" s="28"/>
      <c r="AR40" s="28"/>
      <c r="AS40" s="28"/>
      <c r="AT40" s="28"/>
      <c r="AU40" s="28"/>
      <c r="AV40" s="28"/>
      <c r="AW40" s="28"/>
      <c r="AX40" s="28"/>
    </row>
    <row r="41" spans="14:50" ht="10.5">
      <c r="N41" s="23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9"/>
      <c r="AJ41" s="29"/>
      <c r="AK41" s="29"/>
      <c r="AL41" s="29"/>
      <c r="AM41" s="29"/>
      <c r="AN41" s="29"/>
      <c r="AO41" s="28"/>
      <c r="AP41" s="28"/>
      <c r="AQ41" s="28"/>
      <c r="AR41" s="28"/>
      <c r="AS41" s="28"/>
      <c r="AT41" s="28"/>
      <c r="AU41" s="28"/>
      <c r="AV41" s="28"/>
      <c r="AW41" s="28"/>
      <c r="AX41" s="28"/>
    </row>
    <row r="42" spans="3:50" ht="10.5">
      <c r="C42" s="30"/>
      <c r="D42" s="30"/>
      <c r="N42" s="27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9"/>
      <c r="AJ42" s="29"/>
      <c r="AK42" s="29"/>
      <c r="AL42" s="29"/>
      <c r="AM42" s="29"/>
      <c r="AN42" s="29"/>
      <c r="AO42" s="28"/>
      <c r="AP42" s="28"/>
      <c r="AQ42" s="28"/>
      <c r="AR42" s="28"/>
      <c r="AS42" s="28"/>
      <c r="AT42" s="28"/>
      <c r="AU42" s="28"/>
      <c r="AV42" s="28"/>
      <c r="AW42" s="28"/>
      <c r="AX42" s="28"/>
    </row>
    <row r="43" spans="3:50" ht="10.5">
      <c r="C43" s="30"/>
      <c r="D43" s="30"/>
      <c r="N43" s="27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9"/>
      <c r="AJ43" s="29"/>
      <c r="AK43" s="29"/>
      <c r="AL43" s="29"/>
      <c r="AM43" s="29"/>
      <c r="AN43" s="29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3:50" ht="10.5">
      <c r="C44" s="30"/>
      <c r="D44" s="30"/>
      <c r="N44" s="27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9"/>
      <c r="AJ44" s="29"/>
      <c r="AK44" s="29"/>
      <c r="AL44" s="29"/>
      <c r="AM44" s="29"/>
      <c r="AN44" s="29"/>
      <c r="AO44" s="28"/>
      <c r="AP44" s="28"/>
      <c r="AQ44" s="28"/>
      <c r="AR44" s="28"/>
      <c r="AS44" s="28"/>
      <c r="AT44" s="28"/>
      <c r="AU44" s="28"/>
      <c r="AV44" s="28"/>
      <c r="AW44" s="28"/>
      <c r="AX44" s="28"/>
    </row>
    <row r="45" spans="3:50" ht="10.5">
      <c r="C45" s="30"/>
      <c r="D45" s="30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  <c r="AJ45" s="29"/>
      <c r="AK45" s="29"/>
      <c r="AL45" s="29"/>
      <c r="AM45" s="29"/>
      <c r="AN45" s="29"/>
      <c r="AO45" s="28"/>
      <c r="AP45" s="28"/>
      <c r="AQ45" s="28"/>
      <c r="AR45" s="28"/>
      <c r="AS45" s="28"/>
      <c r="AT45" s="28"/>
      <c r="AU45" s="28"/>
      <c r="AV45" s="28"/>
      <c r="AW45" s="28"/>
      <c r="AX45" s="28"/>
    </row>
    <row r="46" spans="3:50" ht="10.5">
      <c r="C46" s="30"/>
      <c r="D46" s="30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9"/>
      <c r="AJ46" s="29"/>
      <c r="AK46" s="29"/>
      <c r="AL46" s="29"/>
      <c r="AM46" s="29"/>
      <c r="AN46" s="29"/>
      <c r="AO46" s="28"/>
      <c r="AP46" s="28"/>
      <c r="AQ46" s="28"/>
      <c r="AR46" s="28"/>
      <c r="AS46" s="28"/>
      <c r="AT46" s="28"/>
      <c r="AU46" s="28"/>
      <c r="AV46" s="28"/>
      <c r="AW46" s="28"/>
      <c r="AX46" s="28"/>
    </row>
    <row r="47" spans="3:50" ht="10.5">
      <c r="C47" s="30"/>
      <c r="D47" s="30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9"/>
      <c r="AJ47" s="29"/>
      <c r="AK47" s="29"/>
      <c r="AL47" s="29"/>
      <c r="AM47" s="29"/>
      <c r="AN47" s="29"/>
      <c r="AO47" s="28"/>
      <c r="AP47" s="28"/>
      <c r="AQ47" s="28"/>
      <c r="AR47" s="28"/>
      <c r="AS47" s="28"/>
      <c r="AT47" s="28"/>
      <c r="AU47" s="28"/>
      <c r="AV47" s="28"/>
      <c r="AW47" s="28"/>
      <c r="AX47" s="28"/>
    </row>
    <row r="48" spans="3:50" ht="10.5">
      <c r="C48" s="30"/>
      <c r="D48" s="30"/>
      <c r="N48" s="27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3:50" ht="10.5">
      <c r="C49" s="30"/>
      <c r="D49" s="30"/>
      <c r="N49" s="27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3:50" ht="10.5">
      <c r="C50" s="30"/>
      <c r="D50" s="30"/>
      <c r="N50" s="27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3:50" ht="10.5">
      <c r="C51" s="30"/>
      <c r="D51" s="30"/>
      <c r="N51" s="27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</row>
    <row r="52" spans="3:50" ht="10.5">
      <c r="C52" s="30"/>
      <c r="D52" s="30"/>
      <c r="N52" s="27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3:50" ht="10.5">
      <c r="C53" s="30"/>
      <c r="D53" s="30"/>
      <c r="N53" s="27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</row>
    <row r="54" spans="3:4" ht="10.5">
      <c r="C54" s="30"/>
      <c r="D54" s="30"/>
    </row>
  </sheetData>
  <sheetProtection/>
  <mergeCells count="25">
    <mergeCell ref="D14:G14"/>
    <mergeCell ref="D15:G15"/>
    <mergeCell ref="C8:I8"/>
    <mergeCell ref="C9:I9"/>
    <mergeCell ref="C10:I10"/>
    <mergeCell ref="D13:G13"/>
    <mergeCell ref="D27:G27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E35:F35"/>
    <mergeCell ref="D28:G28"/>
    <mergeCell ref="E32:F32"/>
    <mergeCell ref="G32:H32"/>
    <mergeCell ref="E33:F33"/>
    <mergeCell ref="E34:F34"/>
    <mergeCell ref="G34:H34"/>
    <mergeCell ref="D26:G26"/>
  </mergeCells>
  <hyperlinks>
    <hyperlink ref="L4" location="Положение!A1" display="ПОЛОЖЕНИЕ о порядке определения размеров арендной платы при сдаче в аренду оборудования, транспортных средств, находящихся в государственной собственности (Указ от 23.10.2009 № 518)"/>
    <hyperlink ref="L5" location="'Расчет на срок &gt; 1 мес (мет.1)'!A1" display="Расчет суммы арендной платы на срок месяц и более (методика 1)"/>
    <hyperlink ref="L6" location="'Расчет на срок &gt; 1 мес (мет.2)'!A1" display="Расчет суммы арендной платы на срок месяц и более (методика 2)"/>
    <hyperlink ref="L7" location="'Расчет на срок &gt; 1 мес (мет.3)'!A1" display="Расчет суммы арендной платы на срок месяц и более (методика 3)"/>
    <hyperlink ref="L8" location="'Бухгалтерская справка'!A1" display="Бухгалтерская справка о размере фактических затрат по управлению и эксплуатации"/>
    <hyperlink ref="L9" location="'Расчет на срок &lt;1 мес (мет.1)'!A1" display="Расчет суммы арендной платы на срок менее месяца (методика 1)"/>
    <hyperlink ref="L10" location="'Расчет на срок &lt;1 мес (мет.2)'!A1" display="Расчет суммы арендной платы на срок менее месяца (методика 2)"/>
    <hyperlink ref="L11" location="'Расчет на срок &lt;1 мес (мет.3)'!A1" display="Расчет суммы арендной платы на срок менее месяца (методика 3)"/>
    <hyperlink ref="L12" location="'Калькуляция 1 м-часа'!A1" display="Калькуляция стоимости 1 машино-часа управления спецмеханизмом (с топливом)"/>
    <hyperlink ref="L13" location="'Калькуляция 1 м-ч (без топлива)'!A1" display="Калькуляция стоимости 1 машино-часа управления спецмеханизмом (без топлива)"/>
    <hyperlink ref="L14" location="топливо!A1" display="Расчет затрат на топливо за 1 маш.-ч для спецтехники"/>
    <hyperlink ref="L15" location="'смазочные материалы'!A1" display="Расчет затрат на смазочные материалы за 1 маш.час для спецтехники"/>
    <hyperlink ref="L16" location="ЗП!A1" display="Расчет  затрат на заработную плату за 1 маш.-час для спецтехники"/>
    <hyperlink ref="L17" location="'расчет % ОПР'!A1" display="Расчет процента общепроизводственных расходов"/>
    <hyperlink ref="L18" location="'расчет % ОХР'!A1" display="Расчет процента общехозяйственных расходов"/>
  </hyperlinks>
  <printOptions/>
  <pageMargins left="0.7" right="0.7" top="0.75" bottom="0.75" header="0.3" footer="0.3"/>
  <pageSetup horizontalDpi="600" verticalDpi="600" orientation="portrait" paperSize="9" scale="96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0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u-jeenn</dc:creator>
  <cp:keywords/>
  <dc:description/>
  <cp:lastModifiedBy>Козарез Алексей</cp:lastModifiedBy>
  <cp:lastPrinted>2010-09-30T12:31:23Z</cp:lastPrinted>
  <dcterms:created xsi:type="dcterms:W3CDTF">2010-09-19T09:30:36Z</dcterms:created>
  <dcterms:modified xsi:type="dcterms:W3CDTF">2021-03-17T10:20:47Z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