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85" windowWidth="18780" windowHeight="6000" tabRatio="913" activeTab="0"/>
  </bookViews>
  <sheets>
    <sheet name="Ф1" sheetId="1" r:id="rId1"/>
    <sheet name="Ф2" sheetId="2" r:id="rId2"/>
    <sheet name="Ф1-прогноз" sheetId="3" r:id="rId3"/>
    <sheet name="Ф2-прогноз" sheetId="4" r:id="rId4"/>
    <sheet name="Расчет ЧОП" sheetId="5" r:id="rId5"/>
    <sheet name="Расчет потока ден.средств" sheetId="6" r:id="rId6"/>
    <sheet name="Прогноз осн.пок-лей" sheetId="7" r:id="rId7"/>
  </sheets>
  <definedNames>
    <definedName name="_xlnm.Print_Area" localSheetId="6">'Прогноз осн.пок-лей'!$B$2:$E$35</definedName>
    <definedName name="_xlnm.Print_Area" localSheetId="5">'Расчет потока ден.средств'!$B$2:$G$54</definedName>
    <definedName name="_xlnm.Print_Area" localSheetId="4">'Расчет ЧОП'!$B$2:$G$56</definedName>
    <definedName name="_xlnm.Print_Area" localSheetId="0">'Ф1'!$B$2:$G$107</definedName>
    <definedName name="_xlnm.Print_Area" localSheetId="2">'Ф1-прогноз'!$B$2:$G$107</definedName>
    <definedName name="_xlnm.Print_Area" localSheetId="1">'Ф2'!$B$2:$G$43</definedName>
    <definedName name="_xlnm.Print_Area" localSheetId="3">'Ф2-прогноз'!$B$2:$G$43</definedName>
  </definedNames>
  <calcPr fullCalcOnLoad="1" iterate="1" iterateCount="100" iterateDelta="0.001"/>
</workbook>
</file>

<file path=xl/comments4.xml><?xml version="1.0" encoding="utf-8"?>
<comments xmlns="http://schemas.openxmlformats.org/spreadsheetml/2006/main">
  <authors>
    <author>Краснянский Евгений</author>
  </authors>
  <commentList>
    <comment ref="E39" authorId="0">
      <text>
        <r>
          <rPr>
            <sz val="8"/>
            <rFont val="Tahoma"/>
            <family val="2"/>
          </rPr>
          <t xml:space="preserve">взято значение ставки налога на прибыль 24%. Для изменения измените значение в ячейке а39
</t>
        </r>
      </text>
    </comment>
  </commentList>
</comments>
</file>

<file path=xl/sharedStrings.xml><?xml version="1.0" encoding="utf-8"?>
<sst xmlns="http://schemas.openxmlformats.org/spreadsheetml/2006/main" count="622" uniqueCount="388">
  <si>
    <t>Синий цвет цифр обозначает, что заполнение данных ячеек происходит автоматически.</t>
  </si>
  <si>
    <t>Бухгалтерский баланс (Форма №1)</t>
  </si>
  <si>
    <t>Наименование статей</t>
  </si>
  <si>
    <t>код строки</t>
  </si>
  <si>
    <t>На начало года</t>
  </si>
  <si>
    <t>На конец года</t>
  </si>
  <si>
    <t>АКТИВ</t>
  </si>
  <si>
    <t>I. ВНЕОБОРОТНЫЕ АКТИВЫ</t>
  </si>
  <si>
    <t>Нематериальные активы</t>
  </si>
  <si>
    <t xml:space="preserve">Доходные вложения в материальные ценности </t>
  </si>
  <si>
    <t>Вложения во внеоборотные активы</t>
  </si>
  <si>
    <t>Прочие внеоборотные активы</t>
  </si>
  <si>
    <t>ИТОГО по разделу I</t>
  </si>
  <si>
    <t>II. ОБОРОТНЫЕ АКТИВЫ</t>
  </si>
  <si>
    <t>Налоги по приобретенным товарам, работам, услугам</t>
  </si>
  <si>
    <t xml:space="preserve">Финансовые вложения </t>
  </si>
  <si>
    <t>Прочие оборотные активы</t>
  </si>
  <si>
    <t>ИТОГО по разделу II</t>
  </si>
  <si>
    <t>БАЛАНС (190 + 290)</t>
  </si>
  <si>
    <t>Основные средства</t>
  </si>
  <si>
    <t>ПАССИВ</t>
  </si>
  <si>
    <t>III. КАПИТАЛ И РЕЗЕРВЫ</t>
  </si>
  <si>
    <t xml:space="preserve">Уставный фонд </t>
  </si>
  <si>
    <t xml:space="preserve">Добавочный фонд </t>
  </si>
  <si>
    <t>Чистая прибыль (убыток) отчетного года</t>
  </si>
  <si>
    <t>Нераспределенная (неиспользованная) прибыль (непокрытый убыток)</t>
  </si>
  <si>
    <t xml:space="preserve">Целевое финансирование </t>
  </si>
  <si>
    <t>Доходы будущих периодов</t>
  </si>
  <si>
    <t>ИТОГО по разделу III</t>
  </si>
  <si>
    <t>IV. ДОЛГОСРОЧНЫЕ ОБЯЗАТЕЛЬСТВА</t>
  </si>
  <si>
    <t>Долгосрочные кредиты и займы</t>
  </si>
  <si>
    <t>Прочие долгосрочные обязательства</t>
  </si>
  <si>
    <t>ИТОГО по разделу IV</t>
  </si>
  <si>
    <t>V. КРАТКОСРОЧНЫЕ ОБЯЗАТЕЛЬСТВА</t>
  </si>
  <si>
    <t>Краткосрочные кредиты и займы</t>
  </si>
  <si>
    <t>Резервы предстоящих расходов</t>
  </si>
  <si>
    <t>Прочие краткосрочные обязательства</t>
  </si>
  <si>
    <t>ИТОГО по разделу V</t>
  </si>
  <si>
    <t>БАЛАНС</t>
  </si>
  <si>
    <t>Разбаланс</t>
  </si>
  <si>
    <t>Запасы и затраты, в том числе:</t>
  </si>
  <si>
    <t>сырье, материалы и другие аналогичные активы</t>
  </si>
  <si>
    <t>животные на выращивании и откорме</t>
  </si>
  <si>
    <t>затраты в незавершенном производстве и полуфабрикаты</t>
  </si>
  <si>
    <t>расходы на реализацию</t>
  </si>
  <si>
    <t>готовая продукция и товары для реализации</t>
  </si>
  <si>
    <t>товары отгруженные</t>
  </si>
  <si>
    <t>выполненные этапы по незавершенным работам</t>
  </si>
  <si>
    <t>расходы будущих периодов</t>
  </si>
  <si>
    <t>прочие запасы и затраты</t>
  </si>
  <si>
    <t>Дебиторская задолженность (платежи по которой ожидаются более, чем через 12 месяцев после отчетной даты), в том числе:</t>
  </si>
  <si>
    <t>покупателей и заказчиков</t>
  </si>
  <si>
    <t>прочая дебиторская задолженность</t>
  </si>
  <si>
    <t>Дебиторская задолженность (платежи по которой ожидаются в течение 12 месяцев после отчетной даты), в том числе:</t>
  </si>
  <si>
    <t xml:space="preserve">покупателей и заказчиков </t>
  </si>
  <si>
    <t xml:space="preserve">по налогам и сборам </t>
  </si>
  <si>
    <t>поставщиков-подрядчиков</t>
  </si>
  <si>
    <t xml:space="preserve">по расчетам с персоналом </t>
  </si>
  <si>
    <t xml:space="preserve">разных дебиторов </t>
  </si>
  <si>
    <t>Расчеты с учредителями, в том числе:</t>
  </si>
  <si>
    <t xml:space="preserve">по вкладам в уставный фонд               </t>
  </si>
  <si>
    <t xml:space="preserve">прочие                                   </t>
  </si>
  <si>
    <t>Денежные средства, в том числе:</t>
  </si>
  <si>
    <t>денежные средства на депозитных счетах</t>
  </si>
  <si>
    <t>Резервный фонд, в том числе:</t>
  </si>
  <si>
    <t>резервные фонды, образованные в соответствии с законодательством</t>
  </si>
  <si>
    <t>резервные фонды, образованные в соответствии с учредительными документами</t>
  </si>
  <si>
    <t>Кредиторская задолженность, в том числе:</t>
  </si>
  <si>
    <t>перед поставщиками и подрядчиками</t>
  </si>
  <si>
    <t>перед покупателями и заказчиками</t>
  </si>
  <si>
    <t>по расчетам с персоналом по оплате труда</t>
  </si>
  <si>
    <t>по налогам и сборам</t>
  </si>
  <si>
    <t>по лизинговым платежам</t>
  </si>
  <si>
    <t>перед прочими кредиторами, из нее в том числе:</t>
  </si>
  <si>
    <t xml:space="preserve">Задолженность перед участниками   (учредителями), в том числе:                        </t>
  </si>
  <si>
    <t xml:space="preserve">по выплате доходов, дивидендов           </t>
  </si>
  <si>
    <t xml:space="preserve">прочая задолженность                     </t>
  </si>
  <si>
    <t>Справка о наличии ценностей, учитываемых на забалансовых счетах</t>
  </si>
  <si>
    <t>Код строки</t>
  </si>
  <si>
    <t>На конец отчетного периода</t>
  </si>
  <si>
    <t xml:space="preserve">Арендованные основные средства </t>
  </si>
  <si>
    <t>001</t>
  </si>
  <si>
    <t xml:space="preserve">Товарно-материальные ценности, принятые на ответственное хранение </t>
  </si>
  <si>
    <t>002</t>
  </si>
  <si>
    <t xml:space="preserve">Материалы, принятые в переработку </t>
  </si>
  <si>
    <t>003</t>
  </si>
  <si>
    <t xml:space="preserve">Товары, принятые на комиссию </t>
  </si>
  <si>
    <t>004</t>
  </si>
  <si>
    <t>Оборудование, принятое для монтажа</t>
  </si>
  <si>
    <t>005</t>
  </si>
  <si>
    <t>Бланки строгой отчетности</t>
  </si>
  <si>
    <t>006</t>
  </si>
  <si>
    <t>Списанная в убыток задолженность неплатежеспособных дебиторов</t>
  </si>
  <si>
    <t>007</t>
  </si>
  <si>
    <t>Обеспечения обязательств и платежей полученные</t>
  </si>
  <si>
    <t>008</t>
  </si>
  <si>
    <t>Обеспечения обязательств и платежей выданные</t>
  </si>
  <si>
    <t>009</t>
  </si>
  <si>
    <t>Амортизационный фонд воспроизводства основных средств</t>
  </si>
  <si>
    <t>010</t>
  </si>
  <si>
    <t>Основные средства, сданные в аренду</t>
  </si>
  <si>
    <t>011</t>
  </si>
  <si>
    <t>Нематериальные активы, полученные в пользование</t>
  </si>
  <si>
    <t>012</t>
  </si>
  <si>
    <t>Амортизационный фонд воспроизводства нематериальных активов</t>
  </si>
  <si>
    <t>013</t>
  </si>
  <si>
    <t>Потеря стоимости основных средств</t>
  </si>
  <si>
    <t>014</t>
  </si>
  <si>
    <t xml:space="preserve">Отчет о прибылях и убытках (Форма №2) </t>
  </si>
  <si>
    <t>I. ДОХОДЫ И РАСХОДЫ ПО ВИДАМ ДЕЯТЕЛЬНОСТИ</t>
  </si>
  <si>
    <t>Выручка от реализации товаров, продукции, работ, услуг</t>
  </si>
  <si>
    <t>Налоги и сборы, включаемые в выручку от реализации товаров, продукции, работ, услуг</t>
  </si>
  <si>
    <t>020</t>
  </si>
  <si>
    <t>Себестоимость реализованных товаров, продукции, работ, услуг</t>
  </si>
  <si>
    <t>030</t>
  </si>
  <si>
    <t>Валовая прибыль</t>
  </si>
  <si>
    <t>040</t>
  </si>
  <si>
    <t>Управленческие расходы</t>
  </si>
  <si>
    <t>050</t>
  </si>
  <si>
    <t>Расходы на реализацию</t>
  </si>
  <si>
    <t>060</t>
  </si>
  <si>
    <t xml:space="preserve">Прибыль (убыток) от реализации </t>
  </si>
  <si>
    <t>070</t>
  </si>
  <si>
    <t>II. ОПЕРАЦИОННЫЕ ДОХОДЫ И РАСХОДЫ</t>
  </si>
  <si>
    <t>Операционные доходы</t>
  </si>
  <si>
    <t>080</t>
  </si>
  <si>
    <t>Налоги и сборы, включаемые в операционные доходы</t>
  </si>
  <si>
    <t>081</t>
  </si>
  <si>
    <t>090</t>
  </si>
  <si>
    <t>091</t>
  </si>
  <si>
    <t>092</t>
  </si>
  <si>
    <t>093</t>
  </si>
  <si>
    <t>099</t>
  </si>
  <si>
    <t>100</t>
  </si>
  <si>
    <t>101</t>
  </si>
  <si>
    <t>102</t>
  </si>
  <si>
    <t>109</t>
  </si>
  <si>
    <t>Прибыль (убыток) от операционных доходов и расходов</t>
  </si>
  <si>
    <t>120</t>
  </si>
  <si>
    <t>III. ВНЕРЕАЛИЗАЦИОННЫЕ ДОХОДЫ И РАСХОДЫ</t>
  </si>
  <si>
    <t>Внереализационные доходы</t>
  </si>
  <si>
    <t>130</t>
  </si>
  <si>
    <t>Налоги и сборы, включаемые во внереализационные доходы</t>
  </si>
  <si>
    <t>131</t>
  </si>
  <si>
    <t>Внереализационные доходы (за вычетом налогов и сборов, включаемых во внереализационные доходы)</t>
  </si>
  <si>
    <t>140</t>
  </si>
  <si>
    <t>Внереализационные расходы</t>
  </si>
  <si>
    <t>150</t>
  </si>
  <si>
    <t>Прибыль (убыток) от внереализационных доходов и расходов</t>
  </si>
  <si>
    <t>160</t>
  </si>
  <si>
    <t>ПРИБЫЛЬ (УБЫТОК) ЗА ОТЧЕТНЫЙ ПЕРИОД</t>
  </si>
  <si>
    <t>200</t>
  </si>
  <si>
    <t>Расходы, не учитываемые при налогообложении</t>
  </si>
  <si>
    <t>210</t>
  </si>
  <si>
    <t>Доходы, не учитываемые при налогообложении</t>
  </si>
  <si>
    <t>220</t>
  </si>
  <si>
    <t>ПРИБЫЛЬ (УБЫТОК) ДО НАЛОГООБЛОЖЕНИЯ</t>
  </si>
  <si>
    <t>240</t>
  </si>
  <si>
    <t>Налоги и сборы, производимые из прибыли</t>
  </si>
  <si>
    <t>250</t>
  </si>
  <si>
    <t>Расходы и платежи из прибыли</t>
  </si>
  <si>
    <t>260</t>
  </si>
  <si>
    <t>Прочие расходы и платежи из прибыли</t>
  </si>
  <si>
    <t>270</t>
  </si>
  <si>
    <t>ЧИСТАЯ ПРИБЫЛЬ</t>
  </si>
  <si>
    <t>300</t>
  </si>
  <si>
    <t>Операционные доходы (за вычетом налогов и сборов, включаемых в операционные доходы), в том числе:</t>
  </si>
  <si>
    <t>проценты к получению</t>
  </si>
  <si>
    <t>доходы от участия в создании (учредительстве) других организаций</t>
  </si>
  <si>
    <t>доходы от операций с активами</t>
  </si>
  <si>
    <t>прочие операционные доходы</t>
  </si>
  <si>
    <t>Операционные расходы, в том числе:</t>
  </si>
  <si>
    <t>проценты к уплате</t>
  </si>
  <si>
    <t>расходы от операций с активами</t>
  </si>
  <si>
    <t xml:space="preserve">прочие операционные расходы </t>
  </si>
  <si>
    <t>(млн.руб)</t>
  </si>
  <si>
    <t>Резервный фонд</t>
  </si>
  <si>
    <t>Добавочный фонд</t>
  </si>
  <si>
    <t>Наименование показателя</t>
  </si>
  <si>
    <t>1.1</t>
  </si>
  <si>
    <t>1.1.2</t>
  </si>
  <si>
    <t>1.1.3</t>
  </si>
  <si>
    <t>1.1.4</t>
  </si>
  <si>
    <t>1.2.1</t>
  </si>
  <si>
    <t>1.2.2</t>
  </si>
  <si>
    <t>3.1</t>
  </si>
  <si>
    <t>1.2</t>
  </si>
  <si>
    <t>1.3</t>
  </si>
  <si>
    <t>2.1</t>
  </si>
  <si>
    <t>1.2.7</t>
  </si>
  <si>
    <t>1.2.8</t>
  </si>
  <si>
    <t>1.2.9</t>
  </si>
  <si>
    <t>1.2.10</t>
  </si>
  <si>
    <t>2.1.1</t>
  </si>
  <si>
    <t>2.1.2</t>
  </si>
  <si>
    <t>2.2</t>
  </si>
  <si>
    <t>2.3</t>
  </si>
  <si>
    <t>3.1.1</t>
  </si>
  <si>
    <t>3.1.2</t>
  </si>
  <si>
    <t>3.2</t>
  </si>
  <si>
    <t>3.3</t>
  </si>
  <si>
    <t>4</t>
  </si>
  <si>
    <t>5</t>
  </si>
  <si>
    <t>6</t>
  </si>
  <si>
    <t>7</t>
  </si>
  <si>
    <t>За отчетный период</t>
  </si>
  <si>
    <t>За аналогичный период прошлого года</t>
  </si>
  <si>
    <t>Финансовые вложения</t>
  </si>
  <si>
    <t>на</t>
  </si>
  <si>
    <t xml:space="preserve">первоначальная стоимость </t>
  </si>
  <si>
    <t>амортизация</t>
  </si>
  <si>
    <t xml:space="preserve">остаточная стоимость </t>
  </si>
  <si>
    <t>в том числе незавершенное строительство</t>
  </si>
  <si>
    <t>На начало отчетного периода</t>
  </si>
  <si>
    <t>за</t>
  </si>
  <si>
    <t>год</t>
  </si>
  <si>
    <t>Расчет чистого оборотного капитала</t>
  </si>
  <si>
    <t>На конец периода</t>
  </si>
  <si>
    <t>Сырье, материалы и другие ценности</t>
  </si>
  <si>
    <t>Незавершенное производство</t>
  </si>
  <si>
    <t>Готовая продукция и товары для реализации</t>
  </si>
  <si>
    <t>Товары отгруженные</t>
  </si>
  <si>
    <t xml:space="preserve">Расходы будущих периодов </t>
  </si>
  <si>
    <t>Налоги по приобретенным ценностям</t>
  </si>
  <si>
    <t>Дебиторская задолженность:</t>
  </si>
  <si>
    <t xml:space="preserve">Прочие оборотные активы </t>
  </si>
  <si>
    <t>Итого оборотные активы</t>
  </si>
  <si>
    <t>Прирост оборотных активов</t>
  </si>
  <si>
    <t>Перед поставщиками и подрядчиками</t>
  </si>
  <si>
    <t>Перед покупателями и заказчиками</t>
  </si>
  <si>
    <t>По оплате труда, расчетам с персоналом</t>
  </si>
  <si>
    <t>По налогам и сборам, социальному страхованию и обеспечению</t>
  </si>
  <si>
    <t>Разных кредиторов и прочая кредиторская задолженность</t>
  </si>
  <si>
    <t>Прочие виды обязательств</t>
  </si>
  <si>
    <t xml:space="preserve">Итого кредиторская задолженность </t>
  </si>
  <si>
    <t xml:space="preserve">Прирост кредиторской задолженности </t>
  </si>
  <si>
    <t xml:space="preserve">Чистый оборотный капитал </t>
  </si>
  <si>
    <t>Прирост чистого оборотного капитала</t>
  </si>
  <si>
    <t>запас сырья и материалов в днях</t>
  </si>
  <si>
    <t>размер однодневной суммы затрат на сырье и материалы, млн.руб.</t>
  </si>
  <si>
    <t>запас незавершенного производства в днях</t>
  </si>
  <si>
    <t>размер однодневной суммы затрат на производство и реализацию продукции</t>
  </si>
  <si>
    <t>размер однодневной суммы затрат на  реализацию продукции</t>
  </si>
  <si>
    <t>запас  в днях</t>
  </si>
  <si>
    <t>запас готовой продукции и товаров для реализации в днях</t>
  </si>
  <si>
    <t>размер однодневной суммы выручки от реализации</t>
  </si>
  <si>
    <t>запас товаров отгруженных в днях</t>
  </si>
  <si>
    <t>поставщиков и подрядчиков</t>
  </si>
  <si>
    <t xml:space="preserve">количество дней предоплаты </t>
  </si>
  <si>
    <t xml:space="preserve">авансируемая сумма </t>
  </si>
  <si>
    <t>размер однодневной авансируемой суммы материальных затрат</t>
  </si>
  <si>
    <t>покупателей и заказчиков, разных дебиторов и прочая дебиторская задолженность</t>
  </si>
  <si>
    <t xml:space="preserve">отсрочка в поступлении платежей в днях </t>
  </si>
  <si>
    <t>размер однодневной суммы выручки от реализации продукции</t>
  </si>
  <si>
    <t>отсрочка по оплате платежей в днях</t>
  </si>
  <si>
    <t>размер однодневной суммы материальных затрат</t>
  </si>
  <si>
    <t>отсрочка расчетов по исполнению обязательств перед покупателями и заказчиками в днях</t>
  </si>
  <si>
    <t>отсрочка расчетов по оплате труда в днях</t>
  </si>
  <si>
    <t>размер однодневной суммы расходов на оплату труда</t>
  </si>
  <si>
    <t>отсрочка расчетов по уплате налогов и сборов в бюджет в днях</t>
  </si>
  <si>
    <t>размер однодневной суммы налогов и сборов, уплачиваемых в бюджет</t>
  </si>
  <si>
    <t>Прогноз основных показателей деятельности организации</t>
  </si>
  <si>
    <t>Значение</t>
  </si>
  <si>
    <t xml:space="preserve">Доля материальных затрат в расходах на реализацию </t>
  </si>
  <si>
    <t>Отсрочка в поступлении платежей в днях для расчета дебиторской задолженности</t>
  </si>
  <si>
    <t xml:space="preserve">Отсрочка по оплате платежей в днях для расчета кредиторской задолженности </t>
  </si>
  <si>
    <t>Отсрочка расчетов по исполнению обязательств перед покупателями и заказчиками в днях для расчета кредиторской задолженности</t>
  </si>
  <si>
    <t>Доля расходов на оплату труда в общей сумме расходов на реализацию</t>
  </si>
  <si>
    <t>Сумма амортизации за период</t>
  </si>
  <si>
    <t>Приобретение основных средств (капитальные затраты без НДС)</t>
  </si>
  <si>
    <t>Дополнительно привлекаемый акционерный капитал</t>
  </si>
  <si>
    <t>Привлечение долгосрочных кредитов</t>
  </si>
  <si>
    <t>Процентная ставка по долгосрочным кредитам</t>
  </si>
  <si>
    <t>Привлечение краткосрочных кредитов</t>
  </si>
  <si>
    <t>Процентная ставка краткосрочным кредитам</t>
  </si>
  <si>
    <t xml:space="preserve">Погашение основного долга по долгосрочным кредитам </t>
  </si>
  <si>
    <t>Погашение основного долга по краткосрочным кредитам</t>
  </si>
  <si>
    <t>Средняя норма амортизации</t>
  </si>
  <si>
    <t>Порядок распределения прибыли:</t>
  </si>
  <si>
    <t>(прогноз)</t>
  </si>
  <si>
    <t>год (прогноз)</t>
  </si>
  <si>
    <t>Рост товарооборота (выручки)</t>
  </si>
  <si>
    <t>Ставка НДС</t>
  </si>
  <si>
    <t>Средняя ставка НДС, %</t>
  </si>
  <si>
    <t xml:space="preserve">Изменение среднего уровня доходов от реализации </t>
  </si>
  <si>
    <t>Изменение уровня расходов на реализацию</t>
  </si>
  <si>
    <t>Количество дней в периоде</t>
  </si>
  <si>
    <t>Доля расходов, распределяемых на остаток товаров в общей сумме расходов на реализацию</t>
  </si>
  <si>
    <t>Доля расходов на сырье и материалы в общей сумме расходов на реализацию</t>
  </si>
  <si>
    <t>Количество дней предоплаты для расчета дебиторской задолженности</t>
  </si>
  <si>
    <t>Авансируемая сумма для расчета дебиторской задолженности</t>
  </si>
  <si>
    <t xml:space="preserve">I. ТЕКУЩАЯ (ОПЕРАЦИОННАЯ) ДЕЯТЕЛЬНОСТЬ </t>
  </si>
  <si>
    <t xml:space="preserve">Итого приток денежных средств по текущей (операционной) деятельности </t>
  </si>
  <si>
    <t>II. ИНВЕСТИЦИОННАЯ ДЕЯТЕЛЬНОСТЬ</t>
  </si>
  <si>
    <t>III. ФИНАНСОВАЯ ДЕЯТЕЛЬНОСТЬ</t>
  </si>
  <si>
    <t>Расчет потока движения денежных средств</t>
  </si>
  <si>
    <t>№ п\п</t>
  </si>
  <si>
    <t xml:space="preserve">Приток: </t>
  </si>
  <si>
    <t xml:space="preserve">Выручка от реализации продукции </t>
  </si>
  <si>
    <t xml:space="preserve">Прочие поступления по текущей (операционной)  деятельности </t>
  </si>
  <si>
    <t>Отток:</t>
  </si>
  <si>
    <t xml:space="preserve">Затраты на производство и реализацию продукции (за вычетом амортизации) </t>
  </si>
  <si>
    <t>Налоги из выручки</t>
  </si>
  <si>
    <t xml:space="preserve">Налоги, сборы и платежи, уплачиваемые из прибыли (доходов) </t>
  </si>
  <si>
    <t xml:space="preserve">Расходы и платежи из прибыли </t>
  </si>
  <si>
    <t xml:space="preserve">Прирост оборотных активов </t>
  </si>
  <si>
    <t xml:space="preserve">Прочие расходы по текущей деятельности </t>
  </si>
  <si>
    <t xml:space="preserve">Итого отток денежных средств по текущей (операционной) деятельности </t>
  </si>
  <si>
    <t xml:space="preserve">Сальдо потока денежных средств по текущей (операционной) деятельности </t>
  </si>
  <si>
    <t>2.1.3</t>
  </si>
  <si>
    <t>2.2.1</t>
  </si>
  <si>
    <t>2.2.2</t>
  </si>
  <si>
    <t>2.2.3</t>
  </si>
  <si>
    <t>2.2.4</t>
  </si>
  <si>
    <t>2.2.5</t>
  </si>
  <si>
    <t>3.1.4</t>
  </si>
  <si>
    <t>3.2.1</t>
  </si>
  <si>
    <t>3.2.2</t>
  </si>
  <si>
    <t>3.2.7</t>
  </si>
  <si>
    <t>3.2.8</t>
  </si>
  <si>
    <t>3.2.9</t>
  </si>
  <si>
    <t>Приток:</t>
  </si>
  <si>
    <t>Поступления денежных средств от реализации основных фондов и нематериальных активов (без НДС по остаточной стоимости)</t>
  </si>
  <si>
    <t>От долгосрочных финансовых вложений</t>
  </si>
  <si>
    <t xml:space="preserve">Итого приток денежных средств по инвестиционной деятельности </t>
  </si>
  <si>
    <t xml:space="preserve">Отток: </t>
  </si>
  <si>
    <t xml:space="preserve">Капитальные затраты без НДС </t>
  </si>
  <si>
    <t xml:space="preserve">НДС, уплачиваемый при осуществлении капитальных затрат </t>
  </si>
  <si>
    <t>Долгосрочные финансовые вложения</t>
  </si>
  <si>
    <t xml:space="preserve">Другие расходы по инвестиционной деятельности </t>
  </si>
  <si>
    <t xml:space="preserve">Итого отток денежных средств по инвестиционной деятельности </t>
  </si>
  <si>
    <t xml:space="preserve">Сальдо потока денежных средств по инвестиционной деятельности </t>
  </si>
  <si>
    <t>Заемные и привлеченные средства</t>
  </si>
  <si>
    <t>Краткосрочные кредиты, займы</t>
  </si>
  <si>
    <t xml:space="preserve">Итого приток денежных средств по финансовой деятельности </t>
  </si>
  <si>
    <t>Прочие источники  (финансовые вложения)</t>
  </si>
  <si>
    <t xml:space="preserve">погашение основного долга по долгосрочным кредитам, займам </t>
  </si>
  <si>
    <t>погашение процентов по долгосрочным кредитам, займам</t>
  </si>
  <si>
    <t>погашение краткосрочных кредитов, займов</t>
  </si>
  <si>
    <t>Выплата дивидендов</t>
  </si>
  <si>
    <t>Использование финансовых средств на прочие цели</t>
  </si>
  <si>
    <t xml:space="preserve">Итого отток денежных средств по финансовой деятельности </t>
  </si>
  <si>
    <t xml:space="preserve">Сальдо потока денежных средств по финансовой деятельности </t>
  </si>
  <si>
    <t>Итого приток денежных средств по всем видам деятельности</t>
  </si>
  <si>
    <t xml:space="preserve">Итого отток денежных средств по всем видам деятельности </t>
  </si>
  <si>
    <t xml:space="preserve">Излишек (дефицит) денежных средств </t>
  </si>
  <si>
    <t xml:space="preserve">Накопительный остаток (дефицит) денежных средств </t>
  </si>
  <si>
    <t>Наименование показателей</t>
  </si>
  <si>
    <t>Прочие доходы от инвестиционной деятельности</t>
  </si>
  <si>
    <t>…</t>
  </si>
  <si>
    <t>3.1.3</t>
  </si>
  <si>
    <t>1.1.1.</t>
  </si>
  <si>
    <t>1.3.1</t>
  </si>
  <si>
    <t>1.3.2</t>
  </si>
  <si>
    <t>1.4</t>
  </si>
  <si>
    <t>1.4.1</t>
  </si>
  <si>
    <t>1.4.2</t>
  </si>
  <si>
    <t>1.5</t>
  </si>
  <si>
    <t>1.5.1</t>
  </si>
  <si>
    <t>1.5.2</t>
  </si>
  <si>
    <t>1.6</t>
  </si>
  <si>
    <t>1.7</t>
  </si>
  <si>
    <t>1.8</t>
  </si>
  <si>
    <t>1.8.1</t>
  </si>
  <si>
    <t>1.8.2</t>
  </si>
  <si>
    <t>1.8.3</t>
  </si>
  <si>
    <t>1.8.4</t>
  </si>
  <si>
    <t>1.8.5</t>
  </si>
  <si>
    <t>1.8.6</t>
  </si>
  <si>
    <t>1.8.7</t>
  </si>
  <si>
    <t>1.9</t>
  </si>
  <si>
    <t>1.10</t>
  </si>
  <si>
    <t>1.11</t>
  </si>
  <si>
    <t>1.12</t>
  </si>
  <si>
    <t>2. КРЕДИТОРСКАЯ ЗАДОЛЖЕННОСТЬ</t>
  </si>
  <si>
    <t>1. ОБОРОТНЫЕ АКТИВЫ</t>
  </si>
  <si>
    <t>2.3.1</t>
  </si>
  <si>
    <t>2.3.2</t>
  </si>
  <si>
    <t>2.4</t>
  </si>
  <si>
    <t>2.4.1</t>
  </si>
  <si>
    <t>2.4.2</t>
  </si>
  <si>
    <t>2.5</t>
  </si>
  <si>
    <t>2.6</t>
  </si>
  <si>
    <t>2.7</t>
  </si>
  <si>
    <t>2.8</t>
  </si>
  <si>
    <t>2.9</t>
  </si>
  <si>
    <t>2.10</t>
  </si>
  <si>
    <t>Выручка от реализации товаров, продукции, работ, услуг (за вычетом налогов и сборов, включаемых в выручку)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</si>
</sst>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(* #,##0_);_(* \-#,##0_);_(* &quot;-&quot;??_);_(@_)"/>
    <numFmt numFmtId="174" formatCode="0.000"/>
    <numFmt numFmtId="175" formatCode="0.0"/>
    <numFmt numFmtId="176" formatCode="00"/>
    <numFmt numFmtId="177" formatCode="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0.0000"/>
    <numFmt numFmtId="184" formatCode="0.00000"/>
    <numFmt numFmtId="185" formatCode="0.000000"/>
    <numFmt numFmtId="186" formatCode="0.0%"/>
    <numFmt numFmtId="187" formatCode="#,##0.0000"/>
    <numFmt numFmtId="188" formatCode="[$-FC19]d\ mmmm\ yyyy\ &quot;г.&quot;"/>
    <numFmt numFmtId="189" formatCode="#,##0.0&quot;р.&quot;"/>
    <numFmt numFmtId="190" formatCode="#,##0.00000"/>
    <numFmt numFmtId="191" formatCode="#,##0.000000"/>
    <numFmt numFmtId="192" formatCode="#,##0.0000000"/>
    <numFmt numFmtId="193" formatCode="#,##0.00000000"/>
  </numFmts>
  <fonts count="47">
    <font>
      <sz val="10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ahoma"/>
      <family val="2"/>
    </font>
    <font>
      <sz val="14"/>
      <name val="Tahoma"/>
      <family val="2"/>
    </font>
    <font>
      <sz val="12"/>
      <name val="Tahoma"/>
      <family val="2"/>
    </font>
    <font>
      <sz val="8"/>
      <color indexed="30"/>
      <name val="Tahoma"/>
      <family val="2"/>
    </font>
    <font>
      <sz val="10"/>
      <color indexed="3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32" borderId="0" xfId="0" applyFont="1" applyFill="1" applyAlignment="1" applyProtection="1">
      <alignment vertical="center"/>
      <protection hidden="1"/>
    </xf>
    <xf numFmtId="0" fontId="4" fillId="33" borderId="10" xfId="0" applyFont="1" applyFill="1" applyBorder="1" applyAlignment="1" applyProtection="1">
      <alignment vertical="center"/>
      <protection hidden="1"/>
    </xf>
    <xf numFmtId="0" fontId="4" fillId="33" borderId="11" xfId="0" applyFont="1" applyFill="1" applyBorder="1" applyAlignment="1" applyProtection="1">
      <alignment vertical="center"/>
      <protection hidden="1"/>
    </xf>
    <xf numFmtId="0" fontId="4" fillId="33" borderId="12" xfId="0" applyFont="1" applyFill="1" applyBorder="1" applyAlignment="1" applyProtection="1">
      <alignment vertical="center"/>
      <protection hidden="1"/>
    </xf>
    <xf numFmtId="0" fontId="10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 hidden="1"/>
    </xf>
    <xf numFmtId="0" fontId="4" fillId="32" borderId="0" xfId="0" applyFont="1" applyFill="1" applyBorder="1" applyAlignment="1" applyProtection="1">
      <alignment vertical="center"/>
      <protection/>
    </xf>
    <xf numFmtId="0" fontId="1" fillId="0" borderId="13" xfId="0" applyFont="1" applyBorder="1" applyAlignment="1">
      <alignment vertical="center" wrapText="1"/>
    </xf>
    <xf numFmtId="182" fontId="11" fillId="0" borderId="13" xfId="0" applyNumberFormat="1" applyFont="1" applyBorder="1" applyAlignment="1">
      <alignment horizontal="center" vertical="center" wrapText="1"/>
    </xf>
    <xf numFmtId="182" fontId="4" fillId="32" borderId="0" xfId="0" applyNumberFormat="1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vertical="center"/>
      <protection hidden="1"/>
    </xf>
    <xf numFmtId="0" fontId="4" fillId="32" borderId="0" xfId="0" applyFont="1" applyFill="1" applyAlignment="1" applyProtection="1">
      <alignment horizontal="center" vertical="center"/>
      <protection hidden="1"/>
    </xf>
    <xf numFmtId="0" fontId="4" fillId="32" borderId="0" xfId="0" applyFont="1" applyFill="1" applyAlignment="1" applyProtection="1">
      <alignment horizontal="left"/>
      <protection hidden="1"/>
    </xf>
    <xf numFmtId="0" fontId="8" fillId="33" borderId="14" xfId="0" applyFont="1" applyFill="1" applyBorder="1" applyAlignment="1" applyProtection="1">
      <alignment vertical="center"/>
      <protection hidden="1"/>
    </xf>
    <xf numFmtId="0" fontId="8" fillId="33" borderId="15" xfId="0" applyFont="1" applyFill="1" applyBorder="1" applyAlignment="1" applyProtection="1">
      <alignment vertical="center"/>
      <protection hidden="1"/>
    </xf>
    <xf numFmtId="0" fontId="8" fillId="33" borderId="16" xfId="0" applyFont="1" applyFill="1" applyBorder="1" applyAlignment="1" applyProtection="1">
      <alignment vertical="center"/>
      <protection hidden="1"/>
    </xf>
    <xf numFmtId="0" fontId="8" fillId="33" borderId="10" xfId="0" applyFont="1" applyFill="1" applyBorder="1" applyAlignment="1" applyProtection="1">
      <alignment vertical="center"/>
      <protection hidden="1"/>
    </xf>
    <xf numFmtId="0" fontId="7" fillId="33" borderId="11" xfId="0" applyFont="1" applyFill="1" applyBorder="1" applyAlignment="1" applyProtection="1">
      <alignment horizontal="center" vertical="center"/>
      <protection hidden="1"/>
    </xf>
    <xf numFmtId="0" fontId="7" fillId="33" borderId="10" xfId="0" applyFont="1" applyFill="1" applyBorder="1" applyAlignment="1" applyProtection="1">
      <alignment vertical="center"/>
      <protection hidden="1"/>
    </xf>
    <xf numFmtId="0" fontId="4" fillId="33" borderId="17" xfId="0" applyFont="1" applyFill="1" applyBorder="1" applyAlignment="1" applyProtection="1">
      <alignment vertical="center" wrapText="1"/>
      <protection hidden="1"/>
    </xf>
    <xf numFmtId="0" fontId="4" fillId="33" borderId="18" xfId="0" applyFont="1" applyFill="1" applyBorder="1" applyAlignment="1" applyProtection="1">
      <alignment vertical="center" wrapText="1"/>
      <protection hidden="1"/>
    </xf>
    <xf numFmtId="0" fontId="1" fillId="0" borderId="13" xfId="0" applyFont="1" applyBorder="1" applyAlignment="1">
      <alignment horizontal="left" vertical="center" wrapText="1" indent="1"/>
    </xf>
    <xf numFmtId="182" fontId="1" fillId="0" borderId="13" xfId="0" applyNumberFormat="1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3" borderId="0" xfId="0" applyFont="1" applyFill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182" fontId="11" fillId="0" borderId="1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182" fontId="1" fillId="0" borderId="20" xfId="0" applyNumberFormat="1" applyFont="1" applyBorder="1" applyAlignment="1">
      <alignment horizontal="center" vertical="center" wrapText="1"/>
    </xf>
    <xf numFmtId="182" fontId="11" fillId="0" borderId="20" xfId="0" applyNumberFormat="1" applyFont="1" applyBorder="1" applyAlignment="1">
      <alignment horizontal="center" vertical="center" wrapText="1"/>
    </xf>
    <xf numFmtId="182" fontId="4" fillId="32" borderId="0" xfId="0" applyNumberFormat="1" applyFont="1" applyFill="1" applyBorder="1" applyAlignment="1" applyProtection="1">
      <alignment vertical="center"/>
      <protection hidden="1"/>
    </xf>
    <xf numFmtId="4" fontId="11" fillId="0" borderId="13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9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0" xfId="0" applyNumberFormat="1" applyFont="1" applyFill="1" applyBorder="1" applyAlignment="1" applyProtection="1">
      <alignment horizontal="right" vertical="center" wrapText="1"/>
      <protection hidden="1"/>
    </xf>
    <xf numFmtId="14" fontId="9" fillId="33" borderId="0" xfId="0" applyNumberFormat="1" applyFont="1" applyFill="1" applyBorder="1" applyAlignment="1" applyProtection="1">
      <alignment horizontal="center" vertical="center" wrapText="1"/>
      <protection hidden="1"/>
    </xf>
    <xf numFmtId="1" fontId="9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0" xfId="0" applyNumberFormat="1" applyFont="1" applyFill="1" applyBorder="1" applyAlignment="1" applyProtection="1">
      <alignment horizontal="left" vertical="center" wrapText="1"/>
      <protection hidden="1"/>
    </xf>
    <xf numFmtId="1" fontId="3" fillId="34" borderId="13" xfId="0" applyNumberFormat="1" applyFont="1" applyFill="1" applyBorder="1" applyAlignment="1" applyProtection="1">
      <alignment horizontal="center" vertical="center" wrapText="1"/>
      <protection hidden="1"/>
    </xf>
    <xf numFmtId="1" fontId="3" fillId="34" borderId="13" xfId="0" applyNumberFormat="1" applyFont="1" applyFill="1" applyBorder="1" applyAlignment="1">
      <alignment horizontal="center" vertical="center" wrapText="1"/>
    </xf>
    <xf numFmtId="186" fontId="1" fillId="0" borderId="13" xfId="0" applyNumberFormat="1" applyFont="1" applyBorder="1" applyAlignment="1">
      <alignment horizontal="center" vertical="center" wrapText="1"/>
    </xf>
    <xf numFmtId="9" fontId="4" fillId="32" borderId="0" xfId="0" applyNumberFormat="1" applyFont="1" applyFill="1" applyBorder="1" applyAlignment="1" applyProtection="1">
      <alignment vertical="center"/>
      <protection hidden="1"/>
    </xf>
    <xf numFmtId="186" fontId="1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 indent="1"/>
    </xf>
    <xf numFmtId="0" fontId="9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34" borderId="13" xfId="0" applyFont="1" applyFill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>
      <alignment horizontal="center" vertical="center" wrapText="1"/>
    </xf>
    <xf numFmtId="0" fontId="3" fillId="34" borderId="21" xfId="0" applyFont="1" applyFill="1" applyBorder="1" applyAlignment="1" applyProtection="1">
      <alignment horizontal="center" vertical="center" wrapText="1"/>
      <protection hidden="1"/>
    </xf>
    <xf numFmtId="0" fontId="3" fillId="34" borderId="23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107"/>
  <sheetViews>
    <sheetView showGridLines="0" tabSelected="1" zoomScalePageLayoutView="0" workbookViewId="0" topLeftCell="A1">
      <selection activeCell="A1" sqref="A1"/>
    </sheetView>
  </sheetViews>
  <sheetFormatPr defaultColWidth="2.75390625" defaultRowHeight="12" customHeight="1"/>
  <cols>
    <col min="1" max="1" width="4.125" style="1" customWidth="1"/>
    <col min="2" max="2" width="3.25390625" style="1" customWidth="1"/>
    <col min="3" max="3" width="46.875" style="13" customWidth="1"/>
    <col min="4" max="6" width="15.625" style="14" customWidth="1"/>
    <col min="7" max="7" width="3.00390625" style="1" customWidth="1"/>
    <col min="8" max="8" width="8.00390625" style="1" bestFit="1" customWidth="1"/>
    <col min="9" max="9" width="2.75390625" style="1" customWidth="1"/>
    <col min="10" max="10" width="6.625" style="1" bestFit="1" customWidth="1"/>
    <col min="11" max="11" width="2.75390625" style="1" customWidth="1"/>
    <col min="12" max="12" width="6.625" style="1" bestFit="1" customWidth="1"/>
    <col min="13" max="14" width="2.75390625" style="1" customWidth="1"/>
    <col min="15" max="19" width="3.25390625" style="1" bestFit="1" customWidth="1"/>
    <col min="20" max="20" width="4.75390625" style="1" bestFit="1" customWidth="1"/>
    <col min="21" max="16384" width="2.75390625" style="1" customWidth="1"/>
  </cols>
  <sheetData>
    <row r="1" spans="2:13" ht="15" customHeight="1" thickBot="1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38" ht="11.25" customHeight="1">
      <c r="B2" s="15"/>
      <c r="C2" s="16"/>
      <c r="D2" s="16"/>
      <c r="E2" s="16"/>
      <c r="F2" s="16"/>
      <c r="G2" s="17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2:38" ht="18">
      <c r="B3" s="18"/>
      <c r="C3" s="53" t="s">
        <v>1</v>
      </c>
      <c r="D3" s="53"/>
      <c r="E3" s="53"/>
      <c r="F3" s="53"/>
      <c r="G3" s="19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2:38" ht="18">
      <c r="B4" s="18"/>
      <c r="C4" s="43" t="s">
        <v>208</v>
      </c>
      <c r="D4" s="44">
        <v>40544</v>
      </c>
      <c r="E4" s="42"/>
      <c r="F4" s="42"/>
      <c r="G4" s="19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2:38" ht="12.75" customHeight="1">
      <c r="B5" s="18"/>
      <c r="C5" s="7"/>
      <c r="D5" s="7"/>
      <c r="E5" s="7"/>
      <c r="F5" s="28" t="s">
        <v>175</v>
      </c>
      <c r="G5" s="19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2:38" ht="14.25">
      <c r="B6" s="20"/>
      <c r="C6" s="26" t="s">
        <v>2</v>
      </c>
      <c r="D6" s="25" t="s">
        <v>3</v>
      </c>
      <c r="E6" s="27" t="s">
        <v>4</v>
      </c>
      <c r="F6" s="25" t="s">
        <v>5</v>
      </c>
      <c r="G6" s="19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2:20" s="8" customFormat="1" ht="12.75">
      <c r="B7" s="2"/>
      <c r="C7" s="57" t="s">
        <v>6</v>
      </c>
      <c r="D7" s="58"/>
      <c r="E7" s="58"/>
      <c r="F7" s="59"/>
      <c r="G7" s="3"/>
      <c r="O7" s="11"/>
      <c r="P7" s="11"/>
      <c r="Q7" s="11"/>
      <c r="R7" s="11"/>
      <c r="S7" s="11"/>
      <c r="T7" s="11"/>
    </row>
    <row r="8" spans="2:20" s="12" customFormat="1" ht="12.75">
      <c r="B8" s="2"/>
      <c r="C8" s="54" t="s">
        <v>7</v>
      </c>
      <c r="D8" s="55"/>
      <c r="E8" s="55"/>
      <c r="F8" s="56"/>
      <c r="G8" s="3"/>
      <c r="O8" s="11"/>
      <c r="P8" s="11"/>
      <c r="Q8" s="11"/>
      <c r="R8" s="11"/>
      <c r="S8" s="11"/>
      <c r="T8" s="11"/>
    </row>
    <row r="9" spans="2:20" s="12" customFormat="1" ht="12.75">
      <c r="B9" s="2"/>
      <c r="C9" s="9" t="s">
        <v>19</v>
      </c>
      <c r="D9" s="30"/>
      <c r="E9" s="24"/>
      <c r="F9" s="24"/>
      <c r="G9" s="3"/>
      <c r="O9" s="11"/>
      <c r="P9" s="11"/>
      <c r="Q9" s="11"/>
      <c r="R9" s="11"/>
      <c r="S9" s="11"/>
      <c r="T9" s="11"/>
    </row>
    <row r="10" spans="2:20" s="12" customFormat="1" ht="12.75">
      <c r="B10" s="2"/>
      <c r="C10" s="23" t="s">
        <v>209</v>
      </c>
      <c r="D10" s="30">
        <v>101</v>
      </c>
      <c r="E10" s="24">
        <v>300000</v>
      </c>
      <c r="F10" s="24">
        <v>350000</v>
      </c>
      <c r="G10" s="3"/>
      <c r="O10" s="11"/>
      <c r="P10" s="11"/>
      <c r="Q10" s="11"/>
      <c r="R10" s="11"/>
      <c r="S10" s="11"/>
      <c r="T10" s="11"/>
    </row>
    <row r="11" spans="2:20" s="12" customFormat="1" ht="12.75">
      <c r="B11" s="2"/>
      <c r="C11" s="23" t="s">
        <v>210</v>
      </c>
      <c r="D11" s="30">
        <v>102</v>
      </c>
      <c r="E11" s="24">
        <v>20</v>
      </c>
      <c r="F11" s="24">
        <v>30</v>
      </c>
      <c r="G11" s="3"/>
      <c r="O11" s="11"/>
      <c r="P11" s="11"/>
      <c r="Q11" s="11"/>
      <c r="R11" s="11"/>
      <c r="S11" s="11"/>
      <c r="T11" s="11"/>
    </row>
    <row r="12" spans="2:20" s="12" customFormat="1" ht="12.75">
      <c r="B12" s="2"/>
      <c r="C12" s="23" t="s">
        <v>211</v>
      </c>
      <c r="D12" s="30">
        <v>110</v>
      </c>
      <c r="E12" s="10">
        <f>E10-E11</f>
        <v>299980</v>
      </c>
      <c r="F12" s="10">
        <f>F10-F11</f>
        <v>349970</v>
      </c>
      <c r="G12" s="3"/>
      <c r="O12" s="11"/>
      <c r="P12" s="11"/>
      <c r="Q12" s="11"/>
      <c r="R12" s="11"/>
      <c r="S12" s="11"/>
      <c r="T12" s="11"/>
    </row>
    <row r="13" spans="2:20" s="12" customFormat="1" ht="12.75">
      <c r="B13" s="2"/>
      <c r="C13" s="9" t="s">
        <v>8</v>
      </c>
      <c r="D13" s="30"/>
      <c r="E13" s="24"/>
      <c r="F13" s="24"/>
      <c r="G13" s="3"/>
      <c r="O13" s="11"/>
      <c r="P13" s="11"/>
      <c r="Q13" s="11"/>
      <c r="R13" s="11"/>
      <c r="S13" s="11"/>
      <c r="T13" s="11"/>
    </row>
    <row r="14" spans="2:20" s="12" customFormat="1" ht="12.75">
      <c r="B14" s="2"/>
      <c r="C14" s="23" t="s">
        <v>209</v>
      </c>
      <c r="D14" s="30">
        <v>111</v>
      </c>
      <c r="E14" s="24">
        <v>3100</v>
      </c>
      <c r="F14" s="24">
        <v>4200</v>
      </c>
      <c r="G14" s="3"/>
      <c r="O14" s="11"/>
      <c r="P14" s="11"/>
      <c r="Q14" s="11"/>
      <c r="R14" s="11"/>
      <c r="S14" s="11"/>
      <c r="T14" s="11"/>
    </row>
    <row r="15" spans="2:20" s="12" customFormat="1" ht="12.75">
      <c r="B15" s="2"/>
      <c r="C15" s="23" t="s">
        <v>210</v>
      </c>
      <c r="D15" s="30">
        <v>112</v>
      </c>
      <c r="E15" s="24">
        <v>1</v>
      </c>
      <c r="F15" s="24">
        <v>1.5</v>
      </c>
      <c r="G15" s="3"/>
      <c r="O15" s="11"/>
      <c r="P15" s="11"/>
      <c r="Q15" s="11"/>
      <c r="R15" s="11"/>
      <c r="S15" s="11"/>
      <c r="T15" s="11"/>
    </row>
    <row r="16" spans="2:20" s="12" customFormat="1" ht="12.75">
      <c r="B16" s="2"/>
      <c r="C16" s="23" t="s">
        <v>211</v>
      </c>
      <c r="D16" s="30">
        <v>120</v>
      </c>
      <c r="E16" s="10">
        <f>E14-E15</f>
        <v>3099</v>
      </c>
      <c r="F16" s="10">
        <f>F14-F15</f>
        <v>4198.5</v>
      </c>
      <c r="G16" s="3"/>
      <c r="O16" s="11"/>
      <c r="P16" s="11"/>
      <c r="Q16" s="11"/>
      <c r="R16" s="11"/>
      <c r="S16" s="11"/>
      <c r="T16" s="11"/>
    </row>
    <row r="17" spans="2:20" s="12" customFormat="1" ht="12.75">
      <c r="B17" s="2"/>
      <c r="C17" s="9" t="s">
        <v>9</v>
      </c>
      <c r="D17" s="30"/>
      <c r="E17" s="24"/>
      <c r="F17" s="24"/>
      <c r="G17" s="3"/>
      <c r="O17" s="11"/>
      <c r="P17" s="11"/>
      <c r="Q17" s="11"/>
      <c r="R17" s="11"/>
      <c r="S17" s="11"/>
      <c r="T17" s="11"/>
    </row>
    <row r="18" spans="2:20" s="12" customFormat="1" ht="12.75">
      <c r="B18" s="2"/>
      <c r="C18" s="23" t="s">
        <v>209</v>
      </c>
      <c r="D18" s="30">
        <v>121</v>
      </c>
      <c r="E18" s="24">
        <v>250</v>
      </c>
      <c r="F18" s="24">
        <v>251</v>
      </c>
      <c r="G18" s="3"/>
      <c r="O18" s="11"/>
      <c r="P18" s="11"/>
      <c r="Q18" s="11"/>
      <c r="R18" s="11"/>
      <c r="S18" s="11"/>
      <c r="T18" s="11"/>
    </row>
    <row r="19" spans="2:20" s="12" customFormat="1" ht="12.75">
      <c r="B19" s="2"/>
      <c r="C19" s="23" t="s">
        <v>210</v>
      </c>
      <c r="D19" s="30">
        <v>122</v>
      </c>
      <c r="E19" s="24">
        <v>0.5</v>
      </c>
      <c r="F19" s="24">
        <v>0.5</v>
      </c>
      <c r="G19" s="3"/>
      <c r="O19" s="11"/>
      <c r="P19" s="11"/>
      <c r="Q19" s="11"/>
      <c r="R19" s="11"/>
      <c r="S19" s="11"/>
      <c r="T19" s="11"/>
    </row>
    <row r="20" spans="2:20" s="12" customFormat="1" ht="12.75">
      <c r="B20" s="2"/>
      <c r="C20" s="23" t="s">
        <v>211</v>
      </c>
      <c r="D20" s="30">
        <v>130</v>
      </c>
      <c r="E20" s="10">
        <f>E18-E19</f>
        <v>249.5</v>
      </c>
      <c r="F20" s="10">
        <f>F18-F19</f>
        <v>250.5</v>
      </c>
      <c r="G20" s="3"/>
      <c r="O20" s="11"/>
      <c r="P20" s="11"/>
      <c r="Q20" s="11"/>
      <c r="R20" s="11"/>
      <c r="S20" s="11"/>
      <c r="T20" s="11"/>
    </row>
    <row r="21" spans="2:20" s="12" customFormat="1" ht="12.75">
      <c r="B21" s="2"/>
      <c r="C21" s="9" t="s">
        <v>10</v>
      </c>
      <c r="D21" s="30">
        <v>140</v>
      </c>
      <c r="E21" s="24">
        <v>38000</v>
      </c>
      <c r="F21" s="24">
        <v>48000</v>
      </c>
      <c r="G21" s="3"/>
      <c r="O21" s="11"/>
      <c r="P21" s="11"/>
      <c r="Q21" s="11"/>
      <c r="R21" s="11"/>
      <c r="S21" s="11"/>
      <c r="T21" s="11"/>
    </row>
    <row r="22" spans="2:20" s="12" customFormat="1" ht="12.75">
      <c r="B22" s="2"/>
      <c r="C22" s="23" t="s">
        <v>212</v>
      </c>
      <c r="D22" s="30">
        <v>141</v>
      </c>
      <c r="E22" s="24">
        <v>0</v>
      </c>
      <c r="F22" s="24">
        <v>0</v>
      </c>
      <c r="G22" s="3"/>
      <c r="O22" s="11"/>
      <c r="P22" s="11"/>
      <c r="Q22" s="11"/>
      <c r="R22" s="11"/>
      <c r="S22" s="11"/>
      <c r="T22" s="11"/>
    </row>
    <row r="23" spans="2:20" s="12" customFormat="1" ht="12.75">
      <c r="B23" s="2"/>
      <c r="C23" s="9" t="s">
        <v>11</v>
      </c>
      <c r="D23" s="30">
        <v>150</v>
      </c>
      <c r="E23" s="24">
        <v>0</v>
      </c>
      <c r="F23" s="24">
        <v>0</v>
      </c>
      <c r="G23" s="3"/>
      <c r="O23" s="11"/>
      <c r="P23" s="11"/>
      <c r="Q23" s="11"/>
      <c r="R23" s="11"/>
      <c r="S23" s="11"/>
      <c r="T23" s="11"/>
    </row>
    <row r="24" spans="2:20" s="12" customFormat="1" ht="12.75">
      <c r="B24" s="2"/>
      <c r="C24" s="9" t="s">
        <v>12</v>
      </c>
      <c r="D24" s="30">
        <v>190</v>
      </c>
      <c r="E24" s="10">
        <f>E12+E16+E20+E21+E23</f>
        <v>341328.5</v>
      </c>
      <c r="F24" s="10">
        <f>F12+F16+F20+F21+F23</f>
        <v>402419</v>
      </c>
      <c r="G24" s="3"/>
      <c r="O24" s="11"/>
      <c r="P24" s="11"/>
      <c r="Q24" s="11"/>
      <c r="R24" s="11"/>
      <c r="S24" s="11"/>
      <c r="T24" s="11"/>
    </row>
    <row r="25" spans="2:20" s="12" customFormat="1" ht="12.75">
      <c r="B25" s="2"/>
      <c r="C25" s="54" t="s">
        <v>13</v>
      </c>
      <c r="D25" s="55"/>
      <c r="E25" s="55"/>
      <c r="F25" s="56"/>
      <c r="G25" s="3"/>
      <c r="O25" s="11"/>
      <c r="P25" s="11"/>
      <c r="Q25" s="11"/>
      <c r="R25" s="11"/>
      <c r="S25" s="11"/>
      <c r="T25" s="11"/>
    </row>
    <row r="26" spans="2:20" s="12" customFormat="1" ht="12.75">
      <c r="B26" s="2"/>
      <c r="C26" s="9" t="s">
        <v>40</v>
      </c>
      <c r="D26" s="30">
        <v>210</v>
      </c>
      <c r="E26" s="10">
        <f>SUM(E27:E35)</f>
        <v>167520</v>
      </c>
      <c r="F26" s="10">
        <f>SUM(F27:F35)</f>
        <v>192720</v>
      </c>
      <c r="G26" s="3"/>
      <c r="O26" s="11"/>
      <c r="P26" s="11"/>
      <c r="Q26" s="11"/>
      <c r="R26" s="11"/>
      <c r="S26" s="11"/>
      <c r="T26" s="11"/>
    </row>
    <row r="27" spans="2:20" s="12" customFormat="1" ht="12.75">
      <c r="B27" s="2"/>
      <c r="C27" s="23" t="s">
        <v>41</v>
      </c>
      <c r="D27" s="30">
        <v>211</v>
      </c>
      <c r="E27" s="24">
        <v>45000</v>
      </c>
      <c r="F27" s="24">
        <v>58000</v>
      </c>
      <c r="G27" s="3"/>
      <c r="O27" s="11"/>
      <c r="P27" s="11"/>
      <c r="Q27" s="11"/>
      <c r="R27" s="11"/>
      <c r="S27" s="11"/>
      <c r="T27" s="11"/>
    </row>
    <row r="28" spans="2:20" s="12" customFormat="1" ht="12.75">
      <c r="B28" s="2"/>
      <c r="C28" s="23" t="s">
        <v>42</v>
      </c>
      <c r="D28" s="30">
        <v>212</v>
      </c>
      <c r="E28" s="24">
        <v>0</v>
      </c>
      <c r="F28" s="24">
        <v>0</v>
      </c>
      <c r="G28" s="3"/>
      <c r="O28" s="11"/>
      <c r="P28" s="11"/>
      <c r="Q28" s="11"/>
      <c r="R28" s="11"/>
      <c r="S28" s="11"/>
      <c r="T28" s="11"/>
    </row>
    <row r="29" spans="2:20" s="12" customFormat="1" ht="25.5">
      <c r="B29" s="2"/>
      <c r="C29" s="23" t="s">
        <v>43</v>
      </c>
      <c r="D29" s="30">
        <v>213</v>
      </c>
      <c r="E29" s="24">
        <v>25000</v>
      </c>
      <c r="F29" s="24">
        <v>28000</v>
      </c>
      <c r="G29" s="3"/>
      <c r="O29" s="11"/>
      <c r="P29" s="11"/>
      <c r="Q29" s="11"/>
      <c r="R29" s="11"/>
      <c r="S29" s="11"/>
      <c r="T29" s="11"/>
    </row>
    <row r="30" spans="2:20" s="12" customFormat="1" ht="12.75">
      <c r="B30" s="2"/>
      <c r="C30" s="23" t="s">
        <v>44</v>
      </c>
      <c r="D30" s="30">
        <v>214</v>
      </c>
      <c r="E30" s="24">
        <v>0</v>
      </c>
      <c r="F30" s="24">
        <v>0</v>
      </c>
      <c r="G30" s="3"/>
      <c r="O30" s="11"/>
      <c r="P30" s="11"/>
      <c r="Q30" s="11"/>
      <c r="R30" s="11"/>
      <c r="S30" s="11"/>
      <c r="T30" s="11"/>
    </row>
    <row r="31" spans="2:20" s="12" customFormat="1" ht="12.75">
      <c r="B31" s="2"/>
      <c r="C31" s="23" t="s">
        <v>45</v>
      </c>
      <c r="D31" s="30">
        <v>215</v>
      </c>
      <c r="E31" s="24">
        <v>59000</v>
      </c>
      <c r="F31" s="24">
        <v>68000</v>
      </c>
      <c r="G31" s="3"/>
      <c r="O31" s="11"/>
      <c r="P31" s="11"/>
      <c r="Q31" s="11"/>
      <c r="R31" s="11"/>
      <c r="S31" s="11"/>
      <c r="T31" s="11"/>
    </row>
    <row r="32" spans="2:20" s="12" customFormat="1" ht="12.75">
      <c r="B32" s="2"/>
      <c r="C32" s="23" t="s">
        <v>46</v>
      </c>
      <c r="D32" s="30">
        <v>216</v>
      </c>
      <c r="E32" s="24">
        <v>24000</v>
      </c>
      <c r="F32" s="24">
        <v>19820</v>
      </c>
      <c r="G32" s="3"/>
      <c r="O32" s="11"/>
      <c r="P32" s="11"/>
      <c r="Q32" s="11"/>
      <c r="R32" s="11"/>
      <c r="S32" s="11"/>
      <c r="T32" s="11"/>
    </row>
    <row r="33" spans="2:20" s="12" customFormat="1" ht="12.75">
      <c r="B33" s="2"/>
      <c r="C33" s="23" t="s">
        <v>47</v>
      </c>
      <c r="D33" s="30">
        <v>217</v>
      </c>
      <c r="E33" s="24">
        <v>0</v>
      </c>
      <c r="F33" s="24">
        <v>0</v>
      </c>
      <c r="G33" s="3"/>
      <c r="O33" s="11"/>
      <c r="P33" s="11"/>
      <c r="Q33" s="11"/>
      <c r="R33" s="11"/>
      <c r="S33" s="11"/>
      <c r="T33" s="11"/>
    </row>
    <row r="34" spans="2:20" s="12" customFormat="1" ht="12.75">
      <c r="B34" s="2"/>
      <c r="C34" s="23" t="s">
        <v>48</v>
      </c>
      <c r="D34" s="30">
        <v>218</v>
      </c>
      <c r="E34" s="24">
        <v>0</v>
      </c>
      <c r="F34" s="24">
        <v>0</v>
      </c>
      <c r="G34" s="3"/>
      <c r="O34" s="11"/>
      <c r="P34" s="11"/>
      <c r="Q34" s="11"/>
      <c r="R34" s="11"/>
      <c r="S34" s="11"/>
      <c r="T34" s="11"/>
    </row>
    <row r="35" spans="2:20" s="12" customFormat="1" ht="12.75">
      <c r="B35" s="2"/>
      <c r="C35" s="23" t="s">
        <v>49</v>
      </c>
      <c r="D35" s="30">
        <v>219</v>
      </c>
      <c r="E35" s="24">
        <v>14520</v>
      </c>
      <c r="F35" s="24">
        <v>18900</v>
      </c>
      <c r="G35" s="3"/>
      <c r="O35" s="11"/>
      <c r="P35" s="11"/>
      <c r="Q35" s="11"/>
      <c r="R35" s="11"/>
      <c r="S35" s="11"/>
      <c r="T35" s="11"/>
    </row>
    <row r="36" spans="2:20" s="12" customFormat="1" ht="18" customHeight="1">
      <c r="B36" s="2"/>
      <c r="C36" s="9" t="s">
        <v>14</v>
      </c>
      <c r="D36" s="30">
        <v>220</v>
      </c>
      <c r="E36" s="24">
        <v>15000</v>
      </c>
      <c r="F36" s="24">
        <v>18000</v>
      </c>
      <c r="G36" s="3"/>
      <c r="O36" s="11"/>
      <c r="P36" s="11"/>
      <c r="Q36" s="11"/>
      <c r="R36" s="11"/>
      <c r="S36" s="11"/>
      <c r="T36" s="11"/>
    </row>
    <row r="37" spans="2:20" s="12" customFormat="1" ht="38.25">
      <c r="B37" s="2"/>
      <c r="C37" s="9" t="s">
        <v>50</v>
      </c>
      <c r="D37" s="30">
        <v>230</v>
      </c>
      <c r="E37" s="10">
        <f>SUM(E38:E39)</f>
        <v>0</v>
      </c>
      <c r="F37" s="10">
        <f>SUM(F38:F39)</f>
        <v>0</v>
      </c>
      <c r="G37" s="3"/>
      <c r="O37" s="11"/>
      <c r="P37" s="11"/>
      <c r="Q37" s="11"/>
      <c r="R37" s="11"/>
      <c r="S37" s="11"/>
      <c r="T37" s="11"/>
    </row>
    <row r="38" spans="2:20" s="12" customFormat="1" ht="12.75">
      <c r="B38" s="2"/>
      <c r="C38" s="23" t="s">
        <v>51</v>
      </c>
      <c r="D38" s="30">
        <v>231</v>
      </c>
      <c r="E38" s="24">
        <v>0</v>
      </c>
      <c r="F38" s="24">
        <v>0</v>
      </c>
      <c r="G38" s="3"/>
      <c r="O38" s="11"/>
      <c r="P38" s="11"/>
      <c r="Q38" s="11"/>
      <c r="R38" s="11"/>
      <c r="S38" s="11"/>
      <c r="T38" s="11"/>
    </row>
    <row r="39" spans="2:20" s="12" customFormat="1" ht="12.75">
      <c r="B39" s="2"/>
      <c r="C39" s="23" t="s">
        <v>52</v>
      </c>
      <c r="D39" s="30">
        <v>232</v>
      </c>
      <c r="E39" s="24">
        <v>0</v>
      </c>
      <c r="F39" s="24">
        <v>0</v>
      </c>
      <c r="G39" s="3"/>
      <c r="O39" s="11"/>
      <c r="P39" s="11"/>
      <c r="Q39" s="11"/>
      <c r="R39" s="11"/>
      <c r="S39" s="11"/>
      <c r="T39" s="11"/>
    </row>
    <row r="40" spans="2:20" s="12" customFormat="1" ht="38.25">
      <c r="B40" s="2"/>
      <c r="C40" s="9" t="s">
        <v>53</v>
      </c>
      <c r="D40" s="30">
        <v>240</v>
      </c>
      <c r="E40" s="10">
        <f>SUM(E41:E46)</f>
        <v>72261.5</v>
      </c>
      <c r="F40" s="10">
        <f>SUM(F41:F46)</f>
        <v>72800</v>
      </c>
      <c r="G40" s="3"/>
      <c r="O40" s="11"/>
      <c r="P40" s="11"/>
      <c r="Q40" s="11"/>
      <c r="R40" s="11"/>
      <c r="S40" s="11"/>
      <c r="T40" s="11"/>
    </row>
    <row r="41" spans="2:20" s="12" customFormat="1" ht="12.75">
      <c r="B41" s="2"/>
      <c r="C41" s="23" t="s">
        <v>54</v>
      </c>
      <c r="D41" s="30">
        <v>241</v>
      </c>
      <c r="E41" s="24">
        <v>69761.5</v>
      </c>
      <c r="F41" s="24">
        <v>70000</v>
      </c>
      <c r="G41" s="3"/>
      <c r="O41" s="11"/>
      <c r="P41" s="11"/>
      <c r="Q41" s="11"/>
      <c r="R41" s="11"/>
      <c r="S41" s="11"/>
      <c r="T41" s="11"/>
    </row>
    <row r="42" spans="2:20" s="12" customFormat="1" ht="12.75">
      <c r="B42" s="2"/>
      <c r="C42" s="23" t="s">
        <v>56</v>
      </c>
      <c r="D42" s="30">
        <v>242</v>
      </c>
      <c r="E42" s="24">
        <v>0</v>
      </c>
      <c r="F42" s="24">
        <v>0</v>
      </c>
      <c r="G42" s="3"/>
      <c r="O42" s="11"/>
      <c r="P42" s="11"/>
      <c r="Q42" s="11"/>
      <c r="R42" s="11"/>
      <c r="S42" s="11"/>
      <c r="T42" s="11"/>
    </row>
    <row r="43" spans="2:20" s="12" customFormat="1" ht="12.75">
      <c r="B43" s="2"/>
      <c r="C43" s="23" t="s">
        <v>55</v>
      </c>
      <c r="D43" s="30">
        <v>243</v>
      </c>
      <c r="E43" s="24">
        <v>0</v>
      </c>
      <c r="F43" s="24">
        <v>0</v>
      </c>
      <c r="G43" s="3"/>
      <c r="O43" s="11"/>
      <c r="P43" s="11"/>
      <c r="Q43" s="11"/>
      <c r="R43" s="11"/>
      <c r="S43" s="11"/>
      <c r="T43" s="11"/>
    </row>
    <row r="44" spans="2:20" s="12" customFormat="1" ht="12.75">
      <c r="B44" s="2"/>
      <c r="C44" s="23" t="s">
        <v>57</v>
      </c>
      <c r="D44" s="30">
        <v>244</v>
      </c>
      <c r="E44" s="24">
        <v>0</v>
      </c>
      <c r="F44" s="24">
        <v>0</v>
      </c>
      <c r="G44" s="3"/>
      <c r="O44" s="11"/>
      <c r="P44" s="11"/>
      <c r="Q44" s="11"/>
      <c r="R44" s="11"/>
      <c r="S44" s="11"/>
      <c r="T44" s="11"/>
    </row>
    <row r="45" spans="2:20" s="12" customFormat="1" ht="12.75">
      <c r="B45" s="2"/>
      <c r="C45" s="23" t="s">
        <v>58</v>
      </c>
      <c r="D45" s="30">
        <v>245</v>
      </c>
      <c r="E45" s="24">
        <v>0</v>
      </c>
      <c r="F45" s="24">
        <v>0</v>
      </c>
      <c r="G45" s="3"/>
      <c r="O45" s="11"/>
      <c r="P45" s="11"/>
      <c r="Q45" s="11"/>
      <c r="R45" s="11"/>
      <c r="S45" s="11"/>
      <c r="T45" s="11"/>
    </row>
    <row r="46" spans="2:20" s="12" customFormat="1" ht="12.75">
      <c r="B46" s="2"/>
      <c r="C46" s="23" t="s">
        <v>52</v>
      </c>
      <c r="D46" s="30">
        <v>249</v>
      </c>
      <c r="E46" s="24">
        <v>2500</v>
      </c>
      <c r="F46" s="24">
        <v>2800</v>
      </c>
      <c r="G46" s="3"/>
      <c r="O46" s="11"/>
      <c r="P46" s="11"/>
      <c r="Q46" s="11"/>
      <c r="R46" s="11"/>
      <c r="S46" s="11"/>
      <c r="T46" s="11"/>
    </row>
    <row r="47" spans="2:20" s="12" customFormat="1" ht="12.75">
      <c r="B47" s="2"/>
      <c r="C47" s="9" t="s">
        <v>59</v>
      </c>
      <c r="D47" s="30">
        <v>250</v>
      </c>
      <c r="E47" s="10">
        <f>SUM(E48:E49)</f>
        <v>0</v>
      </c>
      <c r="F47" s="10">
        <f>SUM(F48:F49)</f>
        <v>0</v>
      </c>
      <c r="G47" s="3"/>
      <c r="O47" s="11"/>
      <c r="P47" s="11"/>
      <c r="Q47" s="11"/>
      <c r="R47" s="11"/>
      <c r="S47" s="11"/>
      <c r="T47" s="11"/>
    </row>
    <row r="48" spans="2:20" s="12" customFormat="1" ht="12.75">
      <c r="B48" s="2"/>
      <c r="C48" s="23" t="s">
        <v>60</v>
      </c>
      <c r="D48" s="30">
        <v>251</v>
      </c>
      <c r="E48" s="24">
        <v>0</v>
      </c>
      <c r="F48" s="24">
        <v>0</v>
      </c>
      <c r="G48" s="3"/>
      <c r="O48" s="11"/>
      <c r="P48" s="11"/>
      <c r="Q48" s="11"/>
      <c r="R48" s="11"/>
      <c r="S48" s="11"/>
      <c r="T48" s="11"/>
    </row>
    <row r="49" spans="2:20" s="12" customFormat="1" ht="12.75">
      <c r="B49" s="2"/>
      <c r="C49" s="23" t="s">
        <v>61</v>
      </c>
      <c r="D49" s="30">
        <v>252</v>
      </c>
      <c r="E49" s="24">
        <v>0</v>
      </c>
      <c r="F49" s="24">
        <v>0</v>
      </c>
      <c r="G49" s="3"/>
      <c r="O49" s="11"/>
      <c r="P49" s="11"/>
      <c r="Q49" s="11"/>
      <c r="R49" s="11"/>
      <c r="S49" s="11"/>
      <c r="T49" s="11"/>
    </row>
    <row r="50" spans="2:20" s="12" customFormat="1" ht="12.75">
      <c r="B50" s="2"/>
      <c r="C50" s="9" t="s">
        <v>62</v>
      </c>
      <c r="D50" s="30">
        <v>260</v>
      </c>
      <c r="E50" s="24">
        <v>4500</v>
      </c>
      <c r="F50" s="24">
        <v>6500</v>
      </c>
      <c r="G50" s="3"/>
      <c r="O50" s="11"/>
      <c r="P50" s="11"/>
      <c r="Q50" s="11"/>
      <c r="R50" s="11"/>
      <c r="S50" s="11"/>
      <c r="T50" s="11"/>
    </row>
    <row r="51" spans="2:20" s="12" customFormat="1" ht="12.75">
      <c r="B51" s="2"/>
      <c r="C51" s="23" t="s">
        <v>63</v>
      </c>
      <c r="D51" s="30">
        <v>261</v>
      </c>
      <c r="E51" s="24">
        <v>0</v>
      </c>
      <c r="F51" s="24">
        <v>0</v>
      </c>
      <c r="G51" s="3"/>
      <c r="O51" s="11"/>
      <c r="P51" s="11"/>
      <c r="Q51" s="11"/>
      <c r="R51" s="11"/>
      <c r="S51" s="11"/>
      <c r="T51" s="11"/>
    </row>
    <row r="52" spans="2:20" s="12" customFormat="1" ht="12.75">
      <c r="B52" s="2"/>
      <c r="C52" s="9" t="s">
        <v>15</v>
      </c>
      <c r="D52" s="30">
        <v>270</v>
      </c>
      <c r="E52" s="24">
        <v>90</v>
      </c>
      <c r="F52" s="24">
        <v>84</v>
      </c>
      <c r="G52" s="3"/>
      <c r="O52" s="11"/>
      <c r="P52" s="11"/>
      <c r="Q52" s="11"/>
      <c r="R52" s="11"/>
      <c r="S52" s="11"/>
      <c r="T52" s="11"/>
    </row>
    <row r="53" spans="2:20" s="12" customFormat="1" ht="12.75">
      <c r="B53" s="2"/>
      <c r="C53" s="9" t="s">
        <v>16</v>
      </c>
      <c r="D53" s="30">
        <v>280</v>
      </c>
      <c r="E53" s="24">
        <v>0</v>
      </c>
      <c r="F53" s="24">
        <v>0</v>
      </c>
      <c r="G53" s="3"/>
      <c r="O53" s="11"/>
      <c r="P53" s="11"/>
      <c r="Q53" s="11"/>
      <c r="R53" s="11"/>
      <c r="S53" s="11"/>
      <c r="T53" s="11"/>
    </row>
    <row r="54" spans="2:20" s="12" customFormat="1" ht="12.75">
      <c r="B54" s="2"/>
      <c r="C54" s="9" t="s">
        <v>17</v>
      </c>
      <c r="D54" s="30">
        <v>290</v>
      </c>
      <c r="E54" s="10">
        <f>E26+E36+E37+E40+E47+E50+E52+E53</f>
        <v>259371.5</v>
      </c>
      <c r="F54" s="10">
        <f>F26+F36+F37+F40+F47+F50+F52+F53</f>
        <v>290104</v>
      </c>
      <c r="G54" s="3"/>
      <c r="O54" s="11"/>
      <c r="P54" s="11"/>
      <c r="Q54" s="11"/>
      <c r="R54" s="11"/>
      <c r="S54" s="11"/>
      <c r="T54" s="11"/>
    </row>
    <row r="55" spans="2:20" s="12" customFormat="1" ht="12.75">
      <c r="B55" s="2"/>
      <c r="C55" s="9" t="s">
        <v>18</v>
      </c>
      <c r="D55" s="30">
        <v>300</v>
      </c>
      <c r="E55" s="10">
        <f>E54+E24</f>
        <v>600700</v>
      </c>
      <c r="F55" s="10">
        <f>F54+F24</f>
        <v>692523</v>
      </c>
      <c r="G55" s="3"/>
      <c r="O55" s="11"/>
      <c r="P55" s="11"/>
      <c r="Q55" s="11"/>
      <c r="R55" s="11"/>
      <c r="S55" s="11"/>
      <c r="T55" s="11"/>
    </row>
    <row r="56" spans="2:20" s="12" customFormat="1" ht="12.75">
      <c r="B56" s="2"/>
      <c r="C56" s="57" t="s">
        <v>20</v>
      </c>
      <c r="D56" s="58"/>
      <c r="E56" s="58"/>
      <c r="F56" s="59"/>
      <c r="G56" s="3"/>
      <c r="O56" s="11"/>
      <c r="P56" s="11"/>
      <c r="Q56" s="11"/>
      <c r="R56" s="11"/>
      <c r="S56" s="11"/>
      <c r="T56" s="11"/>
    </row>
    <row r="57" spans="2:20" s="12" customFormat="1" ht="12.75">
      <c r="B57" s="2"/>
      <c r="C57" s="54" t="s">
        <v>21</v>
      </c>
      <c r="D57" s="55"/>
      <c r="E57" s="55"/>
      <c r="F57" s="56"/>
      <c r="G57" s="3"/>
      <c r="O57" s="11"/>
      <c r="P57" s="11"/>
      <c r="Q57" s="11"/>
      <c r="R57" s="11"/>
      <c r="S57" s="11"/>
      <c r="T57" s="11"/>
    </row>
    <row r="58" spans="2:20" s="12" customFormat="1" ht="12.75">
      <c r="B58" s="2"/>
      <c r="C58" s="9" t="s">
        <v>22</v>
      </c>
      <c r="D58" s="30">
        <v>410</v>
      </c>
      <c r="E58" s="24">
        <v>2000</v>
      </c>
      <c r="F58" s="24">
        <v>2000</v>
      </c>
      <c r="G58" s="3"/>
      <c r="O58" s="11"/>
      <c r="P58" s="11"/>
      <c r="Q58" s="11"/>
      <c r="R58" s="11"/>
      <c r="S58" s="11"/>
      <c r="T58" s="11"/>
    </row>
    <row r="59" spans="2:20" s="12" customFormat="1" ht="12.75">
      <c r="B59" s="2"/>
      <c r="C59" s="9" t="s">
        <v>64</v>
      </c>
      <c r="D59" s="30">
        <v>420</v>
      </c>
      <c r="E59" s="10">
        <f>SUM(E60:E61)</f>
        <v>6500</v>
      </c>
      <c r="F59" s="10">
        <f>SUM(F60:F61)</f>
        <v>8500</v>
      </c>
      <c r="G59" s="3"/>
      <c r="O59" s="11"/>
      <c r="P59" s="11"/>
      <c r="Q59" s="11"/>
      <c r="R59" s="11"/>
      <c r="S59" s="11"/>
      <c r="T59" s="11"/>
    </row>
    <row r="60" spans="2:20" s="12" customFormat="1" ht="25.5">
      <c r="B60" s="2"/>
      <c r="C60" s="23" t="s">
        <v>65</v>
      </c>
      <c r="D60" s="30">
        <v>421</v>
      </c>
      <c r="E60" s="24">
        <v>0</v>
      </c>
      <c r="F60" s="24">
        <v>0</v>
      </c>
      <c r="G60" s="3"/>
      <c r="O60" s="11"/>
      <c r="P60" s="11"/>
      <c r="Q60" s="11"/>
      <c r="R60" s="11"/>
      <c r="S60" s="11"/>
      <c r="T60" s="11"/>
    </row>
    <row r="61" spans="2:20" s="12" customFormat="1" ht="25.5">
      <c r="B61" s="2"/>
      <c r="C61" s="23" t="s">
        <v>66</v>
      </c>
      <c r="D61" s="30">
        <v>422</v>
      </c>
      <c r="E61" s="24">
        <v>6500</v>
      </c>
      <c r="F61" s="24">
        <v>8500</v>
      </c>
      <c r="G61" s="3"/>
      <c r="O61" s="11"/>
      <c r="P61" s="11"/>
      <c r="Q61" s="11"/>
      <c r="R61" s="11"/>
      <c r="S61" s="11"/>
      <c r="T61" s="11"/>
    </row>
    <row r="62" spans="2:20" s="12" customFormat="1" ht="12.75">
      <c r="B62" s="2"/>
      <c r="C62" s="9" t="s">
        <v>23</v>
      </c>
      <c r="D62" s="30">
        <v>430</v>
      </c>
      <c r="E62" s="24">
        <v>350000</v>
      </c>
      <c r="F62" s="24">
        <v>450000</v>
      </c>
      <c r="G62" s="3"/>
      <c r="O62" s="11"/>
      <c r="P62" s="11"/>
      <c r="Q62" s="11"/>
      <c r="R62" s="11"/>
      <c r="S62" s="11"/>
      <c r="T62" s="11"/>
    </row>
    <row r="63" spans="2:20" s="12" customFormat="1" ht="12.75">
      <c r="B63" s="2"/>
      <c r="C63" s="9" t="s">
        <v>24</v>
      </c>
      <c r="D63" s="30">
        <v>440</v>
      </c>
      <c r="E63" s="24">
        <v>0</v>
      </c>
      <c r="F63" s="24">
        <v>0</v>
      </c>
      <c r="G63" s="3"/>
      <c r="O63" s="11"/>
      <c r="P63" s="11"/>
      <c r="Q63" s="11"/>
      <c r="R63" s="11"/>
      <c r="S63" s="11"/>
      <c r="T63" s="11"/>
    </row>
    <row r="64" spans="2:20" s="12" customFormat="1" ht="25.5">
      <c r="B64" s="2"/>
      <c r="C64" s="9" t="s">
        <v>25</v>
      </c>
      <c r="D64" s="30">
        <v>450</v>
      </c>
      <c r="E64" s="24">
        <v>35000</v>
      </c>
      <c r="F64" s="24">
        <v>45000</v>
      </c>
      <c r="G64" s="3"/>
      <c r="O64" s="11"/>
      <c r="P64" s="11"/>
      <c r="Q64" s="11"/>
      <c r="R64" s="11"/>
      <c r="S64" s="11"/>
      <c r="T64" s="11"/>
    </row>
    <row r="65" spans="2:20" s="12" customFormat="1" ht="12.75">
      <c r="B65" s="2"/>
      <c r="C65" s="9" t="s">
        <v>26</v>
      </c>
      <c r="D65" s="30">
        <v>460</v>
      </c>
      <c r="E65" s="24">
        <v>0</v>
      </c>
      <c r="F65" s="24">
        <v>0</v>
      </c>
      <c r="G65" s="3"/>
      <c r="O65" s="11"/>
      <c r="P65" s="11"/>
      <c r="Q65" s="11"/>
      <c r="R65" s="11"/>
      <c r="S65" s="11"/>
      <c r="T65" s="11"/>
    </row>
    <row r="66" spans="2:20" s="12" customFormat="1" ht="12.75">
      <c r="B66" s="2"/>
      <c r="C66" s="9" t="s">
        <v>27</v>
      </c>
      <c r="D66" s="30">
        <v>470</v>
      </c>
      <c r="E66" s="24">
        <v>0</v>
      </c>
      <c r="F66" s="24">
        <v>0</v>
      </c>
      <c r="G66" s="3"/>
      <c r="O66" s="11"/>
      <c r="P66" s="11"/>
      <c r="Q66" s="11"/>
      <c r="R66" s="11"/>
      <c r="S66" s="11"/>
      <c r="T66" s="11"/>
    </row>
    <row r="67" spans="1:20" s="12" customFormat="1" ht="12.75">
      <c r="A67" s="38"/>
      <c r="B67" s="2"/>
      <c r="C67" s="9" t="s">
        <v>28</v>
      </c>
      <c r="D67" s="30">
        <v>490</v>
      </c>
      <c r="E67" s="10">
        <f>E58+E59+E62+E63+E64+E65+E66</f>
        <v>393500</v>
      </c>
      <c r="F67" s="10">
        <f>F58+F59+F62+F63+F64+F65+F66</f>
        <v>505500</v>
      </c>
      <c r="G67" s="3"/>
      <c r="H67" s="38"/>
      <c r="O67" s="11"/>
      <c r="P67" s="11"/>
      <c r="Q67" s="11"/>
      <c r="R67" s="11"/>
      <c r="S67" s="11"/>
      <c r="T67" s="11"/>
    </row>
    <row r="68" spans="2:20" s="12" customFormat="1" ht="12.75">
      <c r="B68" s="2"/>
      <c r="C68" s="54" t="s">
        <v>29</v>
      </c>
      <c r="D68" s="55"/>
      <c r="E68" s="55"/>
      <c r="F68" s="56"/>
      <c r="G68" s="3"/>
      <c r="O68" s="11"/>
      <c r="P68" s="11"/>
      <c r="Q68" s="11"/>
      <c r="R68" s="11"/>
      <c r="S68" s="11"/>
      <c r="T68" s="11"/>
    </row>
    <row r="69" spans="2:20" s="12" customFormat="1" ht="12.75">
      <c r="B69" s="2"/>
      <c r="C69" s="9" t="s">
        <v>30</v>
      </c>
      <c r="D69" s="30">
        <v>510</v>
      </c>
      <c r="E69" s="24">
        <v>3200</v>
      </c>
      <c r="F69" s="24">
        <v>2800</v>
      </c>
      <c r="G69" s="3"/>
      <c r="O69" s="11"/>
      <c r="P69" s="11"/>
      <c r="Q69" s="11"/>
      <c r="R69" s="11"/>
      <c r="S69" s="11"/>
      <c r="T69" s="11"/>
    </row>
    <row r="70" spans="2:20" s="12" customFormat="1" ht="12.75">
      <c r="B70" s="2"/>
      <c r="C70" s="9" t="s">
        <v>31</v>
      </c>
      <c r="D70" s="30">
        <v>520</v>
      </c>
      <c r="E70" s="24">
        <v>0</v>
      </c>
      <c r="F70" s="24">
        <v>0</v>
      </c>
      <c r="G70" s="3"/>
      <c r="O70" s="11"/>
      <c r="P70" s="11"/>
      <c r="Q70" s="11"/>
      <c r="R70" s="11"/>
      <c r="S70" s="11"/>
      <c r="T70" s="11"/>
    </row>
    <row r="71" spans="2:20" s="12" customFormat="1" ht="12.75">
      <c r="B71" s="2"/>
      <c r="C71" s="9" t="s">
        <v>32</v>
      </c>
      <c r="D71" s="30">
        <v>590</v>
      </c>
      <c r="E71" s="10">
        <f>E69+E70</f>
        <v>3200</v>
      </c>
      <c r="F71" s="10">
        <f>F69+F70</f>
        <v>2800</v>
      </c>
      <c r="G71" s="3"/>
      <c r="O71" s="11"/>
      <c r="P71" s="11"/>
      <c r="Q71" s="11"/>
      <c r="R71" s="11"/>
      <c r="S71" s="11"/>
      <c r="T71" s="11"/>
    </row>
    <row r="72" spans="2:20" s="12" customFormat="1" ht="12.75">
      <c r="B72" s="2"/>
      <c r="C72" s="54" t="s">
        <v>33</v>
      </c>
      <c r="D72" s="55"/>
      <c r="E72" s="55"/>
      <c r="F72" s="56"/>
      <c r="G72" s="3"/>
      <c r="O72" s="11"/>
      <c r="P72" s="11"/>
      <c r="Q72" s="11"/>
      <c r="R72" s="11"/>
      <c r="S72" s="11"/>
      <c r="T72" s="11"/>
    </row>
    <row r="73" spans="2:20" s="12" customFormat="1" ht="12.75">
      <c r="B73" s="2"/>
      <c r="C73" s="9" t="s">
        <v>34</v>
      </c>
      <c r="D73" s="30">
        <v>610</v>
      </c>
      <c r="E73" s="24">
        <v>24000</v>
      </c>
      <c r="F73" s="24">
        <v>18000</v>
      </c>
      <c r="G73" s="3"/>
      <c r="O73" s="11"/>
      <c r="P73" s="11"/>
      <c r="Q73" s="11"/>
      <c r="R73" s="11"/>
      <c r="S73" s="11"/>
      <c r="T73" s="11"/>
    </row>
    <row r="74" spans="2:20" s="12" customFormat="1" ht="12.75">
      <c r="B74" s="2"/>
      <c r="C74" s="9" t="s">
        <v>67</v>
      </c>
      <c r="D74" s="30">
        <v>620</v>
      </c>
      <c r="E74" s="10">
        <f>SUM(E75:E80)</f>
        <v>180000</v>
      </c>
      <c r="F74" s="10">
        <f>SUM(F75:F80)</f>
        <v>166223</v>
      </c>
      <c r="G74" s="3"/>
      <c r="O74" s="11"/>
      <c r="P74" s="11"/>
      <c r="Q74" s="11"/>
      <c r="R74" s="11"/>
      <c r="S74" s="11"/>
      <c r="T74" s="11"/>
    </row>
    <row r="75" spans="2:20" s="12" customFormat="1" ht="12.75">
      <c r="B75" s="2"/>
      <c r="C75" s="23" t="s">
        <v>68</v>
      </c>
      <c r="D75" s="30">
        <v>621</v>
      </c>
      <c r="E75" s="24">
        <v>180000</v>
      </c>
      <c r="F75" s="24">
        <v>166223</v>
      </c>
      <c r="G75" s="3"/>
      <c r="O75" s="11"/>
      <c r="P75" s="11"/>
      <c r="Q75" s="11"/>
      <c r="R75" s="11"/>
      <c r="S75" s="11"/>
      <c r="T75" s="11"/>
    </row>
    <row r="76" spans="2:20" s="12" customFormat="1" ht="12.75">
      <c r="B76" s="2"/>
      <c r="C76" s="23" t="s">
        <v>69</v>
      </c>
      <c r="D76" s="30">
        <v>622</v>
      </c>
      <c r="E76" s="24">
        <v>0</v>
      </c>
      <c r="F76" s="24">
        <v>0</v>
      </c>
      <c r="G76" s="3"/>
      <c r="O76" s="11"/>
      <c r="P76" s="11"/>
      <c r="Q76" s="11"/>
      <c r="R76" s="11"/>
      <c r="S76" s="11"/>
      <c r="T76" s="11"/>
    </row>
    <row r="77" spans="2:20" s="12" customFormat="1" ht="12.75">
      <c r="B77" s="2"/>
      <c r="C77" s="23" t="s">
        <v>70</v>
      </c>
      <c r="D77" s="30">
        <v>623</v>
      </c>
      <c r="E77" s="24">
        <v>0</v>
      </c>
      <c r="F77" s="24">
        <v>0</v>
      </c>
      <c r="G77" s="3"/>
      <c r="O77" s="11"/>
      <c r="P77" s="11"/>
      <c r="Q77" s="11"/>
      <c r="R77" s="11"/>
      <c r="S77" s="11"/>
      <c r="T77" s="11"/>
    </row>
    <row r="78" spans="2:20" s="12" customFormat="1" ht="12.75">
      <c r="B78" s="2"/>
      <c r="C78" s="23" t="s">
        <v>71</v>
      </c>
      <c r="D78" s="30">
        <v>625</v>
      </c>
      <c r="E78" s="24">
        <v>0</v>
      </c>
      <c r="F78" s="24">
        <v>0</v>
      </c>
      <c r="G78" s="3"/>
      <c r="O78" s="11"/>
      <c r="P78" s="11"/>
      <c r="Q78" s="11"/>
      <c r="R78" s="11"/>
      <c r="S78" s="11"/>
      <c r="T78" s="11"/>
    </row>
    <row r="79" spans="2:20" s="12" customFormat="1" ht="12.75">
      <c r="B79" s="2"/>
      <c r="C79" s="23" t="s">
        <v>72</v>
      </c>
      <c r="D79" s="30">
        <v>627</v>
      </c>
      <c r="E79" s="24">
        <v>0</v>
      </c>
      <c r="F79" s="24">
        <v>0</v>
      </c>
      <c r="G79" s="3"/>
      <c r="O79" s="11"/>
      <c r="P79" s="11"/>
      <c r="Q79" s="11"/>
      <c r="R79" s="11"/>
      <c r="S79" s="11"/>
      <c r="T79" s="11"/>
    </row>
    <row r="80" spans="2:20" s="12" customFormat="1" ht="12.75">
      <c r="B80" s="2"/>
      <c r="C80" s="23" t="s">
        <v>73</v>
      </c>
      <c r="D80" s="30">
        <v>628</v>
      </c>
      <c r="E80" s="24">
        <v>0</v>
      </c>
      <c r="F80" s="24">
        <v>0</v>
      </c>
      <c r="G80" s="3"/>
      <c r="O80" s="11"/>
      <c r="P80" s="11"/>
      <c r="Q80" s="11"/>
      <c r="R80" s="11"/>
      <c r="S80" s="11"/>
      <c r="T80" s="11"/>
    </row>
    <row r="81" spans="2:20" s="12" customFormat="1" ht="25.5">
      <c r="B81" s="2"/>
      <c r="C81" s="9" t="s">
        <v>74</v>
      </c>
      <c r="D81" s="30">
        <v>630</v>
      </c>
      <c r="E81" s="10">
        <f>SUM(E82:E83)</f>
        <v>0</v>
      </c>
      <c r="F81" s="10">
        <f>SUM(F82:F83)</f>
        <v>0</v>
      </c>
      <c r="G81" s="3"/>
      <c r="O81" s="11"/>
      <c r="P81" s="11"/>
      <c r="Q81" s="11"/>
      <c r="R81" s="11"/>
      <c r="S81" s="11"/>
      <c r="T81" s="11"/>
    </row>
    <row r="82" spans="2:20" s="12" customFormat="1" ht="12.75">
      <c r="B82" s="2"/>
      <c r="C82" s="23" t="s">
        <v>75</v>
      </c>
      <c r="D82" s="30">
        <v>631</v>
      </c>
      <c r="E82" s="24">
        <v>0</v>
      </c>
      <c r="F82" s="24">
        <v>0</v>
      </c>
      <c r="G82" s="3"/>
      <c r="O82" s="11"/>
      <c r="P82" s="11"/>
      <c r="Q82" s="11"/>
      <c r="R82" s="11"/>
      <c r="S82" s="11"/>
      <c r="T82" s="11"/>
    </row>
    <row r="83" spans="2:20" s="12" customFormat="1" ht="12.75">
      <c r="B83" s="2"/>
      <c r="C83" s="23" t="s">
        <v>76</v>
      </c>
      <c r="D83" s="30">
        <v>632</v>
      </c>
      <c r="E83" s="24">
        <v>0</v>
      </c>
      <c r="F83" s="24">
        <v>0</v>
      </c>
      <c r="G83" s="3"/>
      <c r="O83" s="11"/>
      <c r="P83" s="11"/>
      <c r="Q83" s="11"/>
      <c r="R83" s="11"/>
      <c r="S83" s="11"/>
      <c r="T83" s="11"/>
    </row>
    <row r="84" spans="2:20" s="12" customFormat="1" ht="12.75">
      <c r="B84" s="2"/>
      <c r="C84" s="9" t="s">
        <v>35</v>
      </c>
      <c r="D84" s="30">
        <v>640</v>
      </c>
      <c r="E84" s="24">
        <v>0</v>
      </c>
      <c r="F84" s="24">
        <v>0</v>
      </c>
      <c r="G84" s="3"/>
      <c r="O84" s="11"/>
      <c r="P84" s="11"/>
      <c r="Q84" s="11"/>
      <c r="R84" s="11"/>
      <c r="S84" s="11"/>
      <c r="T84" s="11"/>
    </row>
    <row r="85" spans="2:20" s="12" customFormat="1" ht="12.75">
      <c r="B85" s="2"/>
      <c r="C85" s="9" t="s">
        <v>36</v>
      </c>
      <c r="D85" s="30">
        <v>650</v>
      </c>
      <c r="E85" s="24">
        <v>0</v>
      </c>
      <c r="F85" s="24">
        <v>0</v>
      </c>
      <c r="G85" s="3"/>
      <c r="O85" s="11"/>
      <c r="P85" s="11"/>
      <c r="Q85" s="11"/>
      <c r="R85" s="11"/>
      <c r="S85" s="11"/>
      <c r="T85" s="11"/>
    </row>
    <row r="86" spans="1:20" s="12" customFormat="1" ht="12.75">
      <c r="A86" s="38"/>
      <c r="B86" s="2"/>
      <c r="C86" s="9" t="s">
        <v>37</v>
      </c>
      <c r="D86" s="30">
        <v>690</v>
      </c>
      <c r="E86" s="10">
        <f>E73+E74+E81+E84+E85</f>
        <v>204000</v>
      </c>
      <c r="F86" s="10">
        <f>F73+F74+F81+F84+F85</f>
        <v>184223</v>
      </c>
      <c r="G86" s="3"/>
      <c r="H86" s="38"/>
      <c r="O86" s="11"/>
      <c r="P86" s="11"/>
      <c r="Q86" s="11"/>
      <c r="R86" s="11"/>
      <c r="S86" s="11"/>
      <c r="T86" s="11"/>
    </row>
    <row r="87" spans="2:20" s="12" customFormat="1" ht="12.75">
      <c r="B87" s="2"/>
      <c r="C87" s="31" t="s">
        <v>38</v>
      </c>
      <c r="D87" s="34">
        <v>700</v>
      </c>
      <c r="E87" s="32">
        <f>E67+E71+E86</f>
        <v>600700</v>
      </c>
      <c r="F87" s="32">
        <f>F67+F71+F86</f>
        <v>692523</v>
      </c>
      <c r="G87" s="3"/>
      <c r="O87" s="11"/>
      <c r="P87" s="11"/>
      <c r="Q87" s="11"/>
      <c r="R87" s="11"/>
      <c r="S87" s="11"/>
      <c r="T87" s="11"/>
    </row>
    <row r="88" spans="2:20" s="12" customFormat="1" ht="12.75">
      <c r="B88" s="2"/>
      <c r="C88" s="35" t="s">
        <v>39</v>
      </c>
      <c r="D88" s="36"/>
      <c r="E88" s="37">
        <f>E87-E55</f>
        <v>0</v>
      </c>
      <c r="F88" s="37">
        <f>F87-F55</f>
        <v>0</v>
      </c>
      <c r="G88" s="3"/>
      <c r="O88" s="11"/>
      <c r="P88" s="11"/>
      <c r="Q88" s="11"/>
      <c r="R88" s="11"/>
      <c r="S88" s="11"/>
      <c r="T88" s="11"/>
    </row>
    <row r="89" spans="2:20" s="12" customFormat="1" ht="18">
      <c r="B89" s="18"/>
      <c r="C89" s="33"/>
      <c r="D89" s="33"/>
      <c r="E89" s="33"/>
      <c r="F89" s="33"/>
      <c r="G89" s="19"/>
      <c r="O89" s="11"/>
      <c r="P89" s="11"/>
      <c r="Q89" s="11"/>
      <c r="R89" s="11"/>
      <c r="S89" s="11"/>
      <c r="T89" s="11"/>
    </row>
    <row r="90" spans="2:20" s="12" customFormat="1" ht="12.75">
      <c r="B90" s="2"/>
      <c r="C90" s="33"/>
      <c r="D90" s="33"/>
      <c r="E90" s="33" t="str">
        <f>F5</f>
        <v>(млн.руб)</v>
      </c>
      <c r="F90" s="33"/>
      <c r="G90" s="3"/>
      <c r="O90" s="11"/>
      <c r="P90" s="11"/>
      <c r="Q90" s="11"/>
      <c r="R90" s="11"/>
      <c r="S90" s="11"/>
      <c r="T90" s="11"/>
    </row>
    <row r="91" spans="2:20" s="12" customFormat="1" ht="38.25">
      <c r="B91" s="2"/>
      <c r="C91" s="29" t="s">
        <v>77</v>
      </c>
      <c r="D91" s="29" t="s">
        <v>78</v>
      </c>
      <c r="E91" s="29" t="s">
        <v>213</v>
      </c>
      <c r="F91" s="29" t="s">
        <v>79</v>
      </c>
      <c r="G91" s="3"/>
      <c r="O91" s="11"/>
      <c r="P91" s="11"/>
      <c r="Q91" s="11"/>
      <c r="R91" s="11"/>
      <c r="S91" s="11"/>
      <c r="T91" s="11"/>
    </row>
    <row r="92" spans="2:20" s="12" customFormat="1" ht="12.75">
      <c r="B92" s="2"/>
      <c r="C92" s="9" t="s">
        <v>80</v>
      </c>
      <c r="D92" s="29" t="s">
        <v>81</v>
      </c>
      <c r="E92" s="24">
        <v>0</v>
      </c>
      <c r="F92" s="29">
        <v>0</v>
      </c>
      <c r="G92" s="3"/>
      <c r="O92" s="11"/>
      <c r="P92" s="11"/>
      <c r="Q92" s="11"/>
      <c r="R92" s="11"/>
      <c r="S92" s="11"/>
      <c r="T92" s="11"/>
    </row>
    <row r="93" spans="2:20" s="12" customFormat="1" ht="25.5">
      <c r="B93" s="2"/>
      <c r="C93" s="9" t="s">
        <v>82</v>
      </c>
      <c r="D93" s="29" t="s">
        <v>83</v>
      </c>
      <c r="E93" s="24">
        <v>0</v>
      </c>
      <c r="F93" s="29">
        <v>5000</v>
      </c>
      <c r="G93" s="3"/>
      <c r="O93" s="11"/>
      <c r="P93" s="11"/>
      <c r="Q93" s="11"/>
      <c r="R93" s="11"/>
      <c r="S93" s="11"/>
      <c r="T93" s="11"/>
    </row>
    <row r="94" spans="2:20" s="12" customFormat="1" ht="12.75">
      <c r="B94" s="2"/>
      <c r="C94" s="9" t="s">
        <v>84</v>
      </c>
      <c r="D94" s="29" t="s">
        <v>85</v>
      </c>
      <c r="E94" s="24">
        <v>0</v>
      </c>
      <c r="F94" s="29">
        <v>0</v>
      </c>
      <c r="G94" s="3"/>
      <c r="O94" s="11"/>
      <c r="P94" s="11"/>
      <c r="Q94" s="11"/>
      <c r="R94" s="11"/>
      <c r="S94" s="11"/>
      <c r="T94" s="11"/>
    </row>
    <row r="95" spans="2:20" s="12" customFormat="1" ht="12.75">
      <c r="B95" s="2"/>
      <c r="C95" s="9" t="s">
        <v>86</v>
      </c>
      <c r="D95" s="29" t="s">
        <v>87</v>
      </c>
      <c r="E95" s="24">
        <v>0</v>
      </c>
      <c r="F95" s="29">
        <v>0</v>
      </c>
      <c r="G95" s="3"/>
      <c r="O95" s="11"/>
      <c r="P95" s="11"/>
      <c r="Q95" s="11"/>
      <c r="R95" s="11"/>
      <c r="S95" s="11"/>
      <c r="T95" s="11"/>
    </row>
    <row r="96" spans="2:20" s="12" customFormat="1" ht="12.75">
      <c r="B96" s="2"/>
      <c r="C96" s="9" t="s">
        <v>88</v>
      </c>
      <c r="D96" s="29" t="s">
        <v>89</v>
      </c>
      <c r="E96" s="24">
        <v>0</v>
      </c>
      <c r="F96" s="29">
        <v>20</v>
      </c>
      <c r="G96" s="3"/>
      <c r="O96" s="11"/>
      <c r="P96" s="11"/>
      <c r="Q96" s="11"/>
      <c r="R96" s="11"/>
      <c r="S96" s="11"/>
      <c r="T96" s="11"/>
    </row>
    <row r="97" spans="2:20" s="12" customFormat="1" ht="12.75">
      <c r="B97" s="2"/>
      <c r="C97" s="9" t="s">
        <v>90</v>
      </c>
      <c r="D97" s="29" t="s">
        <v>91</v>
      </c>
      <c r="E97" s="24">
        <v>0</v>
      </c>
      <c r="F97" s="29">
        <v>0</v>
      </c>
      <c r="G97" s="3"/>
      <c r="O97" s="11"/>
      <c r="P97" s="11"/>
      <c r="Q97" s="11"/>
      <c r="R97" s="11"/>
      <c r="S97" s="11"/>
      <c r="T97" s="11"/>
    </row>
    <row r="98" spans="2:20" s="12" customFormat="1" ht="25.5">
      <c r="B98" s="2"/>
      <c r="C98" s="9" t="s">
        <v>92</v>
      </c>
      <c r="D98" s="29" t="s">
        <v>93</v>
      </c>
      <c r="E98" s="24">
        <v>5</v>
      </c>
      <c r="F98" s="29">
        <v>4</v>
      </c>
      <c r="G98" s="3"/>
      <c r="O98" s="11"/>
      <c r="P98" s="11"/>
      <c r="Q98" s="11"/>
      <c r="R98" s="11"/>
      <c r="S98" s="11"/>
      <c r="T98" s="11"/>
    </row>
    <row r="99" spans="2:20" s="12" customFormat="1" ht="12.75">
      <c r="B99" s="2"/>
      <c r="C99" s="9" t="s">
        <v>94</v>
      </c>
      <c r="D99" s="29" t="s">
        <v>95</v>
      </c>
      <c r="E99" s="24">
        <v>0</v>
      </c>
      <c r="F99" s="29">
        <v>0</v>
      </c>
      <c r="G99" s="3"/>
      <c r="O99" s="11"/>
      <c r="P99" s="11"/>
      <c r="Q99" s="11"/>
      <c r="R99" s="11"/>
      <c r="S99" s="11"/>
      <c r="T99" s="11"/>
    </row>
    <row r="100" spans="2:20" s="12" customFormat="1" ht="12.75">
      <c r="B100" s="2"/>
      <c r="C100" s="9" t="s">
        <v>96</v>
      </c>
      <c r="D100" s="29" t="s">
        <v>97</v>
      </c>
      <c r="E100" s="24">
        <v>0</v>
      </c>
      <c r="F100" s="29">
        <v>0</v>
      </c>
      <c r="G100" s="3"/>
      <c r="O100" s="11"/>
      <c r="P100" s="11"/>
      <c r="Q100" s="11"/>
      <c r="R100" s="11"/>
      <c r="S100" s="11"/>
      <c r="T100" s="11"/>
    </row>
    <row r="101" spans="2:20" s="12" customFormat="1" ht="25.5">
      <c r="B101" s="2"/>
      <c r="C101" s="9" t="s">
        <v>98</v>
      </c>
      <c r="D101" s="29" t="s">
        <v>99</v>
      </c>
      <c r="E101" s="24">
        <v>2</v>
      </c>
      <c r="F101" s="29">
        <v>4</v>
      </c>
      <c r="G101" s="3"/>
      <c r="O101" s="11"/>
      <c r="P101" s="11"/>
      <c r="Q101" s="11"/>
      <c r="R101" s="11"/>
      <c r="S101" s="11"/>
      <c r="T101" s="11"/>
    </row>
    <row r="102" spans="2:20" s="12" customFormat="1" ht="12.75">
      <c r="B102" s="2"/>
      <c r="C102" s="9" t="s">
        <v>100</v>
      </c>
      <c r="D102" s="29" t="s">
        <v>101</v>
      </c>
      <c r="E102" s="24">
        <v>0</v>
      </c>
      <c r="F102" s="24">
        <v>0</v>
      </c>
      <c r="G102" s="3"/>
      <c r="O102" s="11"/>
      <c r="P102" s="11"/>
      <c r="Q102" s="11"/>
      <c r="R102" s="11"/>
      <c r="S102" s="11"/>
      <c r="T102" s="11"/>
    </row>
    <row r="103" spans="2:20" s="12" customFormat="1" ht="18.75" customHeight="1">
      <c r="B103" s="2"/>
      <c r="C103" s="9" t="s">
        <v>102</v>
      </c>
      <c r="D103" s="29" t="s">
        <v>103</v>
      </c>
      <c r="E103" s="24">
        <v>0</v>
      </c>
      <c r="F103" s="24">
        <v>0</v>
      </c>
      <c r="G103" s="3"/>
      <c r="O103" s="11"/>
      <c r="P103" s="11"/>
      <c r="Q103" s="11"/>
      <c r="R103" s="11"/>
      <c r="S103" s="11"/>
      <c r="T103" s="11"/>
    </row>
    <row r="104" spans="2:20" s="12" customFormat="1" ht="25.5">
      <c r="B104" s="2"/>
      <c r="C104" s="9" t="s">
        <v>104</v>
      </c>
      <c r="D104" s="29" t="s">
        <v>105</v>
      </c>
      <c r="E104" s="24">
        <v>0</v>
      </c>
      <c r="F104" s="29">
        <v>20</v>
      </c>
      <c r="G104" s="3"/>
      <c r="O104" s="11"/>
      <c r="P104" s="11"/>
      <c r="Q104" s="11"/>
      <c r="R104" s="11"/>
      <c r="S104" s="11"/>
      <c r="T104" s="11"/>
    </row>
    <row r="105" spans="2:20" s="12" customFormat="1" ht="12.75">
      <c r="B105" s="2"/>
      <c r="C105" s="9" t="s">
        <v>106</v>
      </c>
      <c r="D105" s="29" t="s">
        <v>107</v>
      </c>
      <c r="E105" s="24">
        <v>0</v>
      </c>
      <c r="F105" s="29">
        <v>15</v>
      </c>
      <c r="G105" s="3"/>
      <c r="O105" s="11"/>
      <c r="P105" s="11"/>
      <c r="Q105" s="11"/>
      <c r="R105" s="11"/>
      <c r="S105" s="11"/>
      <c r="T105" s="11"/>
    </row>
    <row r="106" spans="2:20" s="12" customFormat="1" ht="12.75">
      <c r="B106" s="2"/>
      <c r="C106" s="33"/>
      <c r="D106" s="33"/>
      <c r="E106" s="33"/>
      <c r="F106" s="33"/>
      <c r="G106" s="3"/>
      <c r="O106" s="11"/>
      <c r="P106" s="11"/>
      <c r="Q106" s="11"/>
      <c r="R106" s="11"/>
      <c r="S106" s="11"/>
      <c r="T106" s="11"/>
    </row>
    <row r="107" spans="2:7" ht="12" customHeight="1" thickBot="1">
      <c r="B107" s="4"/>
      <c r="C107" s="21"/>
      <c r="D107" s="21"/>
      <c r="E107" s="21"/>
      <c r="F107" s="21"/>
      <c r="G107" s="22"/>
    </row>
  </sheetData>
  <sheetProtection/>
  <mergeCells count="8">
    <mergeCell ref="C3:F3"/>
    <mergeCell ref="C72:F72"/>
    <mergeCell ref="C7:F7"/>
    <mergeCell ref="C56:F56"/>
    <mergeCell ref="C57:F57"/>
    <mergeCell ref="C8:F8"/>
    <mergeCell ref="C25:F25"/>
    <mergeCell ref="C68:F68"/>
  </mergeCells>
  <printOptions/>
  <pageMargins left="0.7" right="0.7" top="0.75" bottom="0.75" header="0.3" footer="0.3"/>
  <pageSetup horizontalDpi="300" verticalDpi="300" orientation="portrait" paperSize="9" scale="85" r:id="rId1"/>
  <headerFooter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55" min="1" max="6" man="1"/>
    <brk id="89" min="1" max="6" man="1"/>
  </rowBreaks>
  <colBreaks count="1" manualBreakCount="1">
    <brk id="7" min="1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B1:AL43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4.25390625" style="1" bestFit="1" customWidth="1"/>
    <col min="2" max="2" width="3.25390625" style="1" customWidth="1"/>
    <col min="3" max="3" width="47.75390625" style="13" customWidth="1"/>
    <col min="4" max="4" width="13.00390625" style="14" bestFit="1" customWidth="1"/>
    <col min="5" max="6" width="15.625" style="14" customWidth="1"/>
    <col min="7" max="7" width="3.00390625" style="1" customWidth="1"/>
    <col min="8" max="8" width="2.75390625" style="1" customWidth="1"/>
    <col min="9" max="9" width="6.625" style="1" bestFit="1" customWidth="1"/>
    <col min="10" max="11" width="2.75390625" style="1" customWidth="1"/>
    <col min="12" max="16" width="3.25390625" style="1" bestFit="1" customWidth="1"/>
    <col min="17" max="17" width="4.75390625" style="1" bestFit="1" customWidth="1"/>
    <col min="18" max="16384" width="2.75390625" style="1" customWidth="1"/>
  </cols>
  <sheetData>
    <row r="1" spans="2:10" ht="15" customHeight="1" thickBot="1">
      <c r="B1" s="5" t="s">
        <v>0</v>
      </c>
      <c r="C1" s="5"/>
      <c r="D1" s="5"/>
      <c r="E1" s="5"/>
      <c r="F1" s="5"/>
      <c r="G1" s="5"/>
      <c r="H1" s="5"/>
      <c r="I1" s="5"/>
      <c r="J1" s="5"/>
    </row>
    <row r="2" spans="2:35" ht="11.25" customHeight="1">
      <c r="B2" s="15"/>
      <c r="C2" s="16"/>
      <c r="D2" s="16"/>
      <c r="E2" s="16"/>
      <c r="F2" s="16"/>
      <c r="G2" s="17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2:35" ht="18">
      <c r="B3" s="18"/>
      <c r="C3" s="53" t="s">
        <v>108</v>
      </c>
      <c r="D3" s="53"/>
      <c r="E3" s="53"/>
      <c r="F3" s="53"/>
      <c r="G3" s="19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2:38" ht="18">
      <c r="B4" s="18"/>
      <c r="C4" s="43" t="s">
        <v>214</v>
      </c>
      <c r="D4" s="45">
        <f>YEAR('Ф1'!D4-1)</f>
        <v>2010</v>
      </c>
      <c r="E4" s="46" t="s">
        <v>215</v>
      </c>
      <c r="F4" s="42"/>
      <c r="G4" s="19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2:35" ht="12.75" customHeight="1">
      <c r="B5" s="18"/>
      <c r="C5" s="7"/>
      <c r="D5" s="7"/>
      <c r="E5" s="7"/>
      <c r="F5" s="28" t="str">
        <f>'Ф1'!F5</f>
        <v>(млн.руб)</v>
      </c>
      <c r="G5" s="19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2:35" ht="33.75">
      <c r="B6" s="20"/>
      <c r="C6" s="26" t="s">
        <v>2</v>
      </c>
      <c r="D6" s="25" t="s">
        <v>3</v>
      </c>
      <c r="E6" s="27" t="s">
        <v>205</v>
      </c>
      <c r="F6" s="25" t="s">
        <v>206</v>
      </c>
      <c r="G6" s="19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2:17" s="12" customFormat="1" ht="12.75">
      <c r="B7" s="2"/>
      <c r="C7" s="54" t="s">
        <v>109</v>
      </c>
      <c r="D7" s="55"/>
      <c r="E7" s="55"/>
      <c r="F7" s="56"/>
      <c r="G7" s="3"/>
      <c r="L7" s="11"/>
      <c r="M7" s="11"/>
      <c r="N7" s="11"/>
      <c r="O7" s="11"/>
      <c r="P7" s="11"/>
      <c r="Q7" s="11"/>
    </row>
    <row r="8" spans="2:17" s="12" customFormat="1" ht="25.5">
      <c r="B8" s="2"/>
      <c r="C8" s="9" t="s">
        <v>110</v>
      </c>
      <c r="D8" s="30" t="s">
        <v>99</v>
      </c>
      <c r="E8" s="24">
        <v>950000</v>
      </c>
      <c r="F8" s="24">
        <v>900000</v>
      </c>
      <c r="G8" s="3"/>
      <c r="L8" s="11"/>
      <c r="M8" s="11"/>
      <c r="N8" s="11"/>
      <c r="O8" s="11"/>
      <c r="P8" s="11"/>
      <c r="Q8" s="11"/>
    </row>
    <row r="9" spans="2:17" s="12" customFormat="1" ht="25.5">
      <c r="B9" s="2"/>
      <c r="C9" s="9" t="s">
        <v>111</v>
      </c>
      <c r="D9" s="30" t="s">
        <v>101</v>
      </c>
      <c r="E9" s="24">
        <v>184500</v>
      </c>
      <c r="F9" s="24">
        <v>180000</v>
      </c>
      <c r="G9" s="3"/>
      <c r="L9" s="11"/>
      <c r="M9" s="11"/>
      <c r="N9" s="11"/>
      <c r="O9" s="11"/>
      <c r="P9" s="11"/>
      <c r="Q9" s="11"/>
    </row>
    <row r="10" spans="2:17" s="12" customFormat="1" ht="38.25">
      <c r="B10" s="2"/>
      <c r="C10" s="9" t="s">
        <v>387</v>
      </c>
      <c r="D10" s="30" t="s">
        <v>112</v>
      </c>
      <c r="E10" s="10">
        <f>E8-E9</f>
        <v>765500</v>
      </c>
      <c r="F10" s="10">
        <f>F8-F9</f>
        <v>720000</v>
      </c>
      <c r="G10" s="3"/>
      <c r="L10" s="11"/>
      <c r="M10" s="11"/>
      <c r="N10" s="11"/>
      <c r="O10" s="11"/>
      <c r="P10" s="11"/>
      <c r="Q10" s="11"/>
    </row>
    <row r="11" spans="2:17" s="12" customFormat="1" ht="25.5">
      <c r="B11" s="2"/>
      <c r="C11" s="9" t="s">
        <v>113</v>
      </c>
      <c r="D11" s="30" t="s">
        <v>114</v>
      </c>
      <c r="E11" s="24">
        <v>430000</v>
      </c>
      <c r="F11" s="24">
        <v>450000</v>
      </c>
      <c r="G11" s="3"/>
      <c r="L11" s="11"/>
      <c r="M11" s="11"/>
      <c r="N11" s="11"/>
      <c r="O11" s="11"/>
      <c r="P11" s="11"/>
      <c r="Q11" s="11"/>
    </row>
    <row r="12" spans="2:17" s="12" customFormat="1" ht="12.75">
      <c r="B12" s="2"/>
      <c r="C12" s="9" t="s">
        <v>115</v>
      </c>
      <c r="D12" s="30" t="s">
        <v>116</v>
      </c>
      <c r="E12" s="10">
        <f>E10-E11</f>
        <v>335500</v>
      </c>
      <c r="F12" s="10">
        <f>F10-F11</f>
        <v>270000</v>
      </c>
      <c r="G12" s="3"/>
      <c r="L12" s="11"/>
      <c r="M12" s="11"/>
      <c r="N12" s="11"/>
      <c r="O12" s="11"/>
      <c r="P12" s="11"/>
      <c r="Q12" s="11"/>
    </row>
    <row r="13" spans="2:17" s="12" customFormat="1" ht="12.75">
      <c r="B13" s="2"/>
      <c r="C13" s="9" t="s">
        <v>117</v>
      </c>
      <c r="D13" s="30" t="s">
        <v>118</v>
      </c>
      <c r="E13" s="24">
        <v>107000</v>
      </c>
      <c r="F13" s="24">
        <v>124000</v>
      </c>
      <c r="G13" s="3"/>
      <c r="L13" s="11"/>
      <c r="M13" s="11"/>
      <c r="N13" s="11"/>
      <c r="O13" s="11"/>
      <c r="P13" s="11"/>
      <c r="Q13" s="11"/>
    </row>
    <row r="14" spans="2:17" s="12" customFormat="1" ht="12.75">
      <c r="B14" s="2"/>
      <c r="C14" s="9" t="s">
        <v>119</v>
      </c>
      <c r="D14" s="30" t="s">
        <v>120</v>
      </c>
      <c r="E14" s="24">
        <v>104000</v>
      </c>
      <c r="F14" s="24">
        <v>98000</v>
      </c>
      <c r="G14" s="3"/>
      <c r="L14" s="11"/>
      <c r="M14" s="11"/>
      <c r="N14" s="11"/>
      <c r="O14" s="11"/>
      <c r="P14" s="11"/>
      <c r="Q14" s="11"/>
    </row>
    <row r="15" spans="2:17" s="12" customFormat="1" ht="12.75">
      <c r="B15" s="2"/>
      <c r="C15" s="9" t="s">
        <v>121</v>
      </c>
      <c r="D15" s="30" t="s">
        <v>122</v>
      </c>
      <c r="E15" s="10">
        <f>E12-E13-E14</f>
        <v>124500</v>
      </c>
      <c r="F15" s="10">
        <f>F12-F13-F14</f>
        <v>48000</v>
      </c>
      <c r="G15" s="3"/>
      <c r="L15" s="11"/>
      <c r="M15" s="11"/>
      <c r="N15" s="11"/>
      <c r="O15" s="11"/>
      <c r="P15" s="11"/>
      <c r="Q15" s="11"/>
    </row>
    <row r="16" spans="2:17" s="12" customFormat="1" ht="12.75">
      <c r="B16" s="2"/>
      <c r="C16" s="54" t="s">
        <v>123</v>
      </c>
      <c r="D16" s="55"/>
      <c r="E16" s="55"/>
      <c r="F16" s="56"/>
      <c r="G16" s="3"/>
      <c r="L16" s="11"/>
      <c r="M16" s="11"/>
      <c r="N16" s="11"/>
      <c r="O16" s="11"/>
      <c r="P16" s="11"/>
      <c r="Q16" s="11"/>
    </row>
    <row r="17" spans="2:17" s="12" customFormat="1" ht="12.75">
      <c r="B17" s="2"/>
      <c r="C17" s="9" t="s">
        <v>124</v>
      </c>
      <c r="D17" s="30" t="s">
        <v>125</v>
      </c>
      <c r="E17" s="24">
        <v>54000</v>
      </c>
      <c r="F17" s="24">
        <v>60000</v>
      </c>
      <c r="G17" s="3"/>
      <c r="L17" s="11"/>
      <c r="M17" s="11"/>
      <c r="N17" s="11"/>
      <c r="O17" s="11"/>
      <c r="P17" s="11"/>
      <c r="Q17" s="11"/>
    </row>
    <row r="18" spans="2:17" s="12" customFormat="1" ht="14.25" customHeight="1">
      <c r="B18" s="2"/>
      <c r="C18" s="9" t="s">
        <v>126</v>
      </c>
      <c r="D18" s="30" t="s">
        <v>127</v>
      </c>
      <c r="E18" s="24">
        <v>1200</v>
      </c>
      <c r="F18" s="24">
        <v>12400</v>
      </c>
      <c r="G18" s="3"/>
      <c r="L18" s="11"/>
      <c r="M18" s="11"/>
      <c r="N18" s="11"/>
      <c r="O18" s="11"/>
      <c r="P18" s="11"/>
      <c r="Q18" s="11"/>
    </row>
    <row r="19" spans="2:17" s="12" customFormat="1" ht="28.5" customHeight="1">
      <c r="B19" s="2"/>
      <c r="C19" s="9" t="s">
        <v>166</v>
      </c>
      <c r="D19" s="30" t="s">
        <v>128</v>
      </c>
      <c r="E19" s="10">
        <f>E17-E18</f>
        <v>52800</v>
      </c>
      <c r="F19" s="10">
        <f>F17-F18</f>
        <v>47600</v>
      </c>
      <c r="G19" s="3"/>
      <c r="L19" s="11"/>
      <c r="M19" s="11"/>
      <c r="N19" s="11"/>
      <c r="O19" s="11"/>
      <c r="P19" s="11"/>
      <c r="Q19" s="11"/>
    </row>
    <row r="20" spans="2:17" s="12" customFormat="1" ht="12.75">
      <c r="B20" s="2"/>
      <c r="C20" s="23" t="s">
        <v>167</v>
      </c>
      <c r="D20" s="30" t="s">
        <v>129</v>
      </c>
      <c r="E20" s="24">
        <v>0</v>
      </c>
      <c r="F20" s="24">
        <v>0</v>
      </c>
      <c r="G20" s="3"/>
      <c r="L20" s="11"/>
      <c r="M20" s="11"/>
      <c r="N20" s="11"/>
      <c r="O20" s="11"/>
      <c r="P20" s="11"/>
      <c r="Q20" s="11"/>
    </row>
    <row r="21" spans="2:17" s="12" customFormat="1" ht="25.5">
      <c r="B21" s="2"/>
      <c r="C21" s="23" t="s">
        <v>168</v>
      </c>
      <c r="D21" s="30" t="s">
        <v>130</v>
      </c>
      <c r="E21" s="24">
        <v>0</v>
      </c>
      <c r="F21" s="24">
        <v>0</v>
      </c>
      <c r="G21" s="3"/>
      <c r="L21" s="11"/>
      <c r="M21" s="11"/>
      <c r="N21" s="11"/>
      <c r="O21" s="11"/>
      <c r="P21" s="11"/>
      <c r="Q21" s="11"/>
    </row>
    <row r="22" spans="2:17" s="12" customFormat="1" ht="12.75">
      <c r="B22" s="2"/>
      <c r="C22" s="23" t="s">
        <v>169</v>
      </c>
      <c r="D22" s="30" t="s">
        <v>131</v>
      </c>
      <c r="E22" s="24">
        <v>21000</v>
      </c>
      <c r="F22" s="24">
        <v>45000</v>
      </c>
      <c r="G22" s="3"/>
      <c r="L22" s="11"/>
      <c r="M22" s="11"/>
      <c r="N22" s="11"/>
      <c r="O22" s="11"/>
      <c r="P22" s="11"/>
      <c r="Q22" s="11"/>
    </row>
    <row r="23" spans="2:17" s="12" customFormat="1" ht="12.75">
      <c r="B23" s="2"/>
      <c r="C23" s="23" t="s">
        <v>170</v>
      </c>
      <c r="D23" s="30" t="s">
        <v>132</v>
      </c>
      <c r="E23" s="24">
        <v>8400</v>
      </c>
      <c r="F23" s="24">
        <v>10000</v>
      </c>
      <c r="G23" s="3"/>
      <c r="L23" s="11"/>
      <c r="M23" s="11"/>
      <c r="N23" s="11"/>
      <c r="O23" s="11"/>
      <c r="P23" s="11"/>
      <c r="Q23" s="11"/>
    </row>
    <row r="24" spans="2:17" s="12" customFormat="1" ht="12.75">
      <c r="B24" s="2"/>
      <c r="C24" s="9" t="s">
        <v>171</v>
      </c>
      <c r="D24" s="30" t="s">
        <v>133</v>
      </c>
      <c r="E24" s="10">
        <f>SUM(E25:E27)</f>
        <v>29200</v>
      </c>
      <c r="F24" s="10">
        <f>SUM(F25:F27)</f>
        <v>38000</v>
      </c>
      <c r="G24" s="3"/>
      <c r="L24" s="11"/>
      <c r="M24" s="11"/>
      <c r="N24" s="11"/>
      <c r="O24" s="11"/>
      <c r="P24" s="11"/>
      <c r="Q24" s="11"/>
    </row>
    <row r="25" spans="2:17" s="12" customFormat="1" ht="12.75">
      <c r="B25" s="2"/>
      <c r="C25" s="23" t="s">
        <v>172</v>
      </c>
      <c r="D25" s="30" t="s">
        <v>134</v>
      </c>
      <c r="E25" s="24">
        <v>0</v>
      </c>
      <c r="F25" s="24">
        <v>0</v>
      </c>
      <c r="G25" s="3"/>
      <c r="L25" s="11"/>
      <c r="M25" s="11"/>
      <c r="N25" s="11"/>
      <c r="O25" s="11"/>
      <c r="P25" s="11"/>
      <c r="Q25" s="11"/>
    </row>
    <row r="26" spans="2:17" s="12" customFormat="1" ht="12.75">
      <c r="B26" s="2"/>
      <c r="C26" s="23" t="s">
        <v>173</v>
      </c>
      <c r="D26" s="30" t="s">
        <v>135</v>
      </c>
      <c r="E26" s="24">
        <v>1200</v>
      </c>
      <c r="F26" s="24">
        <v>14000</v>
      </c>
      <c r="G26" s="3"/>
      <c r="L26" s="11"/>
      <c r="M26" s="11"/>
      <c r="N26" s="11"/>
      <c r="O26" s="11"/>
      <c r="P26" s="11"/>
      <c r="Q26" s="11"/>
    </row>
    <row r="27" spans="2:17" s="12" customFormat="1" ht="12.75">
      <c r="B27" s="2"/>
      <c r="C27" s="23" t="s">
        <v>174</v>
      </c>
      <c r="D27" s="30" t="s">
        <v>136</v>
      </c>
      <c r="E27" s="24">
        <v>28000</v>
      </c>
      <c r="F27" s="24">
        <v>24000</v>
      </c>
      <c r="G27" s="3"/>
      <c r="L27" s="11"/>
      <c r="M27" s="11"/>
      <c r="N27" s="11"/>
      <c r="O27" s="11"/>
      <c r="P27" s="11"/>
      <c r="Q27" s="11"/>
    </row>
    <row r="28" spans="2:17" s="12" customFormat="1" ht="25.5">
      <c r="B28" s="2"/>
      <c r="C28" s="9" t="s">
        <v>137</v>
      </c>
      <c r="D28" s="30" t="s">
        <v>138</v>
      </c>
      <c r="E28" s="10">
        <f>E19-E24</f>
        <v>23600</v>
      </c>
      <c r="F28" s="10">
        <f>F19-F24</f>
        <v>9600</v>
      </c>
      <c r="G28" s="3"/>
      <c r="L28" s="11"/>
      <c r="M28" s="11"/>
      <c r="N28" s="11"/>
      <c r="O28" s="11"/>
      <c r="P28" s="11"/>
      <c r="Q28" s="11"/>
    </row>
    <row r="29" spans="2:17" s="12" customFormat="1" ht="12.75">
      <c r="B29" s="2"/>
      <c r="C29" s="54" t="s">
        <v>139</v>
      </c>
      <c r="D29" s="55"/>
      <c r="E29" s="55"/>
      <c r="F29" s="56"/>
      <c r="G29" s="3"/>
      <c r="L29" s="11"/>
      <c r="M29" s="11"/>
      <c r="N29" s="11"/>
      <c r="O29" s="11"/>
      <c r="P29" s="11"/>
      <c r="Q29" s="11"/>
    </row>
    <row r="30" spans="2:17" s="12" customFormat="1" ht="12.75">
      <c r="B30" s="2"/>
      <c r="C30" s="9" t="s">
        <v>140</v>
      </c>
      <c r="D30" s="30" t="s">
        <v>141</v>
      </c>
      <c r="E30" s="24">
        <v>1200</v>
      </c>
      <c r="F30" s="24">
        <v>1500</v>
      </c>
      <c r="G30" s="3"/>
      <c r="L30" s="11"/>
      <c r="M30" s="11"/>
      <c r="N30" s="11"/>
      <c r="O30" s="11"/>
      <c r="P30" s="11"/>
      <c r="Q30" s="11"/>
    </row>
    <row r="31" spans="2:17" s="12" customFormat="1" ht="25.5">
      <c r="B31" s="2"/>
      <c r="C31" s="9" t="s">
        <v>142</v>
      </c>
      <c r="D31" s="30" t="s">
        <v>143</v>
      </c>
      <c r="E31" s="24">
        <v>350</v>
      </c>
      <c r="F31" s="24">
        <v>470</v>
      </c>
      <c r="G31" s="3"/>
      <c r="L31" s="11"/>
      <c r="M31" s="11"/>
      <c r="N31" s="11"/>
      <c r="O31" s="11"/>
      <c r="P31" s="11"/>
      <c r="Q31" s="11"/>
    </row>
    <row r="32" spans="2:17" s="12" customFormat="1" ht="25.5">
      <c r="B32" s="2"/>
      <c r="C32" s="9" t="s">
        <v>144</v>
      </c>
      <c r="D32" s="30" t="s">
        <v>145</v>
      </c>
      <c r="E32" s="10">
        <f>E30-E31</f>
        <v>850</v>
      </c>
      <c r="F32" s="10">
        <f>F30-F31</f>
        <v>1030</v>
      </c>
      <c r="G32" s="3"/>
      <c r="L32" s="11"/>
      <c r="M32" s="11"/>
      <c r="N32" s="11"/>
      <c r="O32" s="11"/>
      <c r="P32" s="11"/>
      <c r="Q32" s="11"/>
    </row>
    <row r="33" spans="2:17" s="12" customFormat="1" ht="12.75">
      <c r="B33" s="2"/>
      <c r="C33" s="9" t="s">
        <v>146</v>
      </c>
      <c r="D33" s="30" t="s">
        <v>147</v>
      </c>
      <c r="E33" s="24">
        <v>4150</v>
      </c>
      <c r="F33" s="24">
        <v>3200</v>
      </c>
      <c r="G33" s="3"/>
      <c r="L33" s="11"/>
      <c r="M33" s="11"/>
      <c r="N33" s="11"/>
      <c r="O33" s="11"/>
      <c r="P33" s="11"/>
      <c r="Q33" s="11"/>
    </row>
    <row r="34" spans="2:17" s="12" customFormat="1" ht="25.5">
      <c r="B34" s="2"/>
      <c r="C34" s="9" t="s">
        <v>148</v>
      </c>
      <c r="D34" s="30" t="s">
        <v>149</v>
      </c>
      <c r="E34" s="10">
        <f>E32-E33</f>
        <v>-3300</v>
      </c>
      <c r="F34" s="10">
        <f>F32-F33</f>
        <v>-2170</v>
      </c>
      <c r="G34" s="3"/>
      <c r="L34" s="11"/>
      <c r="M34" s="11"/>
      <c r="N34" s="11"/>
      <c r="O34" s="11"/>
      <c r="P34" s="11"/>
      <c r="Q34" s="11"/>
    </row>
    <row r="35" spans="2:17" s="12" customFormat="1" ht="12.75">
      <c r="B35" s="2"/>
      <c r="C35" s="9" t="s">
        <v>150</v>
      </c>
      <c r="D35" s="30" t="s">
        <v>151</v>
      </c>
      <c r="E35" s="10">
        <f>E15+E28+E34</f>
        <v>144800</v>
      </c>
      <c r="F35" s="10">
        <f>F15+F28+F34</f>
        <v>55430</v>
      </c>
      <c r="G35" s="3"/>
      <c r="L35" s="11"/>
      <c r="M35" s="11"/>
      <c r="N35" s="11"/>
      <c r="O35" s="11"/>
      <c r="P35" s="11"/>
      <c r="Q35" s="11"/>
    </row>
    <row r="36" spans="2:17" s="12" customFormat="1" ht="12.75">
      <c r="B36" s="2"/>
      <c r="C36" s="9" t="s">
        <v>152</v>
      </c>
      <c r="D36" s="30" t="s">
        <v>153</v>
      </c>
      <c r="E36" s="24">
        <v>0</v>
      </c>
      <c r="F36" s="24">
        <v>0</v>
      </c>
      <c r="G36" s="3"/>
      <c r="L36" s="11"/>
      <c r="M36" s="11"/>
      <c r="N36" s="11"/>
      <c r="O36" s="11"/>
      <c r="P36" s="11"/>
      <c r="Q36" s="11"/>
    </row>
    <row r="37" spans="2:17" s="12" customFormat="1" ht="12.75">
      <c r="B37" s="2"/>
      <c r="C37" s="9" t="s">
        <v>154</v>
      </c>
      <c r="D37" s="30" t="s">
        <v>155</v>
      </c>
      <c r="E37" s="24">
        <v>0</v>
      </c>
      <c r="F37" s="24">
        <v>0</v>
      </c>
      <c r="G37" s="3"/>
      <c r="L37" s="11"/>
      <c r="M37" s="11"/>
      <c r="N37" s="11"/>
      <c r="O37" s="11"/>
      <c r="P37" s="11"/>
      <c r="Q37" s="11"/>
    </row>
    <row r="38" spans="2:17" s="12" customFormat="1" ht="12.75">
      <c r="B38" s="2"/>
      <c r="C38" s="9" t="s">
        <v>156</v>
      </c>
      <c r="D38" s="30" t="s">
        <v>157</v>
      </c>
      <c r="E38" s="10">
        <f>E35+E36-E37</f>
        <v>144800</v>
      </c>
      <c r="F38" s="10">
        <f>F35+F36-F37</f>
        <v>55430</v>
      </c>
      <c r="G38" s="3"/>
      <c r="L38" s="11"/>
      <c r="M38" s="11"/>
      <c r="N38" s="11"/>
      <c r="O38" s="11"/>
      <c r="P38" s="11"/>
      <c r="Q38" s="11"/>
    </row>
    <row r="39" spans="2:17" s="12" customFormat="1" ht="12.75">
      <c r="B39" s="2"/>
      <c r="C39" s="9" t="s">
        <v>158</v>
      </c>
      <c r="D39" s="30" t="s">
        <v>159</v>
      </c>
      <c r="E39" s="24">
        <v>15980</v>
      </c>
      <c r="F39" s="24">
        <v>12780</v>
      </c>
      <c r="G39" s="3"/>
      <c r="L39" s="11"/>
      <c r="M39" s="11"/>
      <c r="N39" s="11"/>
      <c r="O39" s="11"/>
      <c r="P39" s="11"/>
      <c r="Q39" s="11"/>
    </row>
    <row r="40" spans="2:17" s="12" customFormat="1" ht="12.75">
      <c r="B40" s="2"/>
      <c r="C40" s="9" t="s">
        <v>160</v>
      </c>
      <c r="D40" s="30" t="s">
        <v>161</v>
      </c>
      <c r="E40" s="24">
        <v>13874</v>
      </c>
      <c r="F40" s="24">
        <v>0</v>
      </c>
      <c r="G40" s="3"/>
      <c r="L40" s="11"/>
      <c r="M40" s="11"/>
      <c r="N40" s="11"/>
      <c r="O40" s="11"/>
      <c r="P40" s="11"/>
      <c r="Q40" s="11"/>
    </row>
    <row r="41" spans="2:17" s="12" customFormat="1" ht="12.75">
      <c r="B41" s="2"/>
      <c r="C41" s="9" t="s">
        <v>162</v>
      </c>
      <c r="D41" s="30" t="s">
        <v>163</v>
      </c>
      <c r="E41" s="24">
        <v>0</v>
      </c>
      <c r="F41" s="24">
        <v>0</v>
      </c>
      <c r="G41" s="3"/>
      <c r="L41" s="11"/>
      <c r="M41" s="11"/>
      <c r="N41" s="11"/>
      <c r="O41" s="11"/>
      <c r="P41" s="11"/>
      <c r="Q41" s="11"/>
    </row>
    <row r="42" spans="2:17" s="12" customFormat="1" ht="12.75">
      <c r="B42" s="2"/>
      <c r="C42" s="9" t="s">
        <v>164</v>
      </c>
      <c r="D42" s="30" t="s">
        <v>165</v>
      </c>
      <c r="E42" s="10">
        <f>E38-E39-E40-E41</f>
        <v>114946</v>
      </c>
      <c r="F42" s="10">
        <f>F38-F39-F40-F41</f>
        <v>42650</v>
      </c>
      <c r="G42" s="3"/>
      <c r="L42" s="11"/>
      <c r="M42" s="11"/>
      <c r="N42" s="11"/>
      <c r="O42" s="11"/>
      <c r="P42" s="11"/>
      <c r="Q42" s="11"/>
    </row>
    <row r="43" spans="2:7" ht="12" customHeight="1" thickBot="1">
      <c r="B43" s="4"/>
      <c r="C43" s="21"/>
      <c r="D43" s="21"/>
      <c r="E43" s="21"/>
      <c r="F43" s="21"/>
      <c r="G43" s="22"/>
    </row>
  </sheetData>
  <sheetProtection/>
  <mergeCells count="4">
    <mergeCell ref="C16:F16"/>
    <mergeCell ref="C29:F29"/>
    <mergeCell ref="C3:F3"/>
    <mergeCell ref="C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0" r:id="rId1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7" min="1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L107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3.75390625" style="1" customWidth="1"/>
    <col min="2" max="2" width="3.25390625" style="1" customWidth="1"/>
    <col min="3" max="3" width="43.00390625" style="13" customWidth="1"/>
    <col min="4" max="6" width="15.625" style="14" customWidth="1"/>
    <col min="7" max="7" width="3.00390625" style="1" customWidth="1"/>
    <col min="8" max="8" width="8.00390625" style="1" bestFit="1" customWidth="1"/>
    <col min="9" max="9" width="2.75390625" style="1" customWidth="1"/>
    <col min="10" max="10" width="6.625" style="1" bestFit="1" customWidth="1"/>
    <col min="11" max="11" width="2.75390625" style="1" customWidth="1"/>
    <col min="12" max="12" width="6.625" style="1" bestFit="1" customWidth="1"/>
    <col min="13" max="14" width="2.75390625" style="1" customWidth="1"/>
    <col min="15" max="19" width="3.25390625" style="1" bestFit="1" customWidth="1"/>
    <col min="20" max="20" width="4.75390625" style="1" bestFit="1" customWidth="1"/>
    <col min="21" max="16384" width="2.75390625" style="1" customWidth="1"/>
  </cols>
  <sheetData>
    <row r="1" spans="2:13" ht="15" customHeight="1" thickBot="1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38" ht="11.25" customHeight="1">
      <c r="B2" s="15"/>
      <c r="C2" s="16"/>
      <c r="D2" s="16"/>
      <c r="E2" s="16"/>
      <c r="F2" s="16"/>
      <c r="G2" s="17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2:38" ht="18">
      <c r="B3" s="18"/>
      <c r="C3" s="53" t="s">
        <v>1</v>
      </c>
      <c r="D3" s="53"/>
      <c r="E3" s="53"/>
      <c r="F3" s="53"/>
      <c r="G3" s="19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2:38" ht="18">
      <c r="B4" s="18"/>
      <c r="C4" s="43" t="s">
        <v>208</v>
      </c>
      <c r="D4" s="44">
        <f>'Ф1'!D4+365</f>
        <v>40909</v>
      </c>
      <c r="E4" s="46" t="s">
        <v>279</v>
      </c>
      <c r="F4" s="42"/>
      <c r="G4" s="19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2:38" ht="12.75" customHeight="1">
      <c r="B5" s="18"/>
      <c r="C5" s="7"/>
      <c r="D5" s="7"/>
      <c r="E5" s="7"/>
      <c r="F5" s="28" t="str">
        <f>'Ф2'!F5</f>
        <v>(млн.руб)</v>
      </c>
      <c r="G5" s="19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2:38" ht="14.25">
      <c r="B6" s="20"/>
      <c r="C6" s="26" t="s">
        <v>2</v>
      </c>
      <c r="D6" s="25" t="s">
        <v>3</v>
      </c>
      <c r="E6" s="27" t="s">
        <v>4</v>
      </c>
      <c r="F6" s="25" t="s">
        <v>5</v>
      </c>
      <c r="G6" s="19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2:20" s="8" customFormat="1" ht="12.75">
      <c r="B7" s="2"/>
      <c r="C7" s="57" t="s">
        <v>6</v>
      </c>
      <c r="D7" s="58"/>
      <c r="E7" s="58"/>
      <c r="F7" s="59"/>
      <c r="G7" s="3"/>
      <c r="O7" s="11"/>
      <c r="P7" s="11"/>
      <c r="Q7" s="11"/>
      <c r="R7" s="11"/>
      <c r="S7" s="11"/>
      <c r="T7" s="11"/>
    </row>
    <row r="8" spans="2:20" s="12" customFormat="1" ht="12.75">
      <c r="B8" s="2"/>
      <c r="C8" s="54" t="s">
        <v>7</v>
      </c>
      <c r="D8" s="55"/>
      <c r="E8" s="55"/>
      <c r="F8" s="56"/>
      <c r="G8" s="3"/>
      <c r="O8" s="11"/>
      <c r="P8" s="11"/>
      <c r="Q8" s="11"/>
      <c r="R8" s="11"/>
      <c r="S8" s="11"/>
      <c r="T8" s="11"/>
    </row>
    <row r="9" spans="2:20" s="12" customFormat="1" ht="12.75">
      <c r="B9" s="2"/>
      <c r="C9" s="9" t="s">
        <v>19</v>
      </c>
      <c r="D9" s="30"/>
      <c r="E9" s="24"/>
      <c r="F9" s="24"/>
      <c r="G9" s="3"/>
      <c r="O9" s="11"/>
      <c r="P9" s="11"/>
      <c r="Q9" s="11"/>
      <c r="R9" s="11"/>
      <c r="S9" s="11"/>
      <c r="T9" s="11"/>
    </row>
    <row r="10" spans="2:20" s="12" customFormat="1" ht="12.75">
      <c r="B10" s="2"/>
      <c r="C10" s="23" t="s">
        <v>209</v>
      </c>
      <c r="D10" s="30">
        <v>101</v>
      </c>
      <c r="E10" s="10">
        <f>'Ф1'!F10</f>
        <v>350000</v>
      </c>
      <c r="F10" s="10">
        <f>E10+'Прогноз осн.пок-лей'!D23</f>
        <v>350080</v>
      </c>
      <c r="G10" s="3"/>
      <c r="O10" s="11"/>
      <c r="P10" s="11"/>
      <c r="Q10" s="11"/>
      <c r="R10" s="11"/>
      <c r="S10" s="11"/>
      <c r="T10" s="11"/>
    </row>
    <row r="11" spans="2:20" s="12" customFormat="1" ht="12.75">
      <c r="B11" s="2"/>
      <c r="C11" s="23" t="s">
        <v>210</v>
      </c>
      <c r="D11" s="30">
        <v>102</v>
      </c>
      <c r="E11" s="10">
        <f>'Ф1'!F11</f>
        <v>30</v>
      </c>
      <c r="F11" s="10">
        <f>E11+F10*'Прогноз осн.пок-лей'!D31</f>
        <v>40.00228571428571</v>
      </c>
      <c r="G11" s="3"/>
      <c r="O11" s="11"/>
      <c r="P11" s="11"/>
      <c r="Q11" s="11"/>
      <c r="R11" s="11"/>
      <c r="S11" s="11"/>
      <c r="T11" s="11"/>
    </row>
    <row r="12" spans="2:20" s="12" customFormat="1" ht="12.75">
      <c r="B12" s="2"/>
      <c r="C12" s="23" t="s">
        <v>211</v>
      </c>
      <c r="D12" s="30">
        <v>110</v>
      </c>
      <c r="E12" s="10">
        <f>E10-E11</f>
        <v>349970</v>
      </c>
      <c r="F12" s="10">
        <f>F10-F11</f>
        <v>350039.99771428574</v>
      </c>
      <c r="G12" s="3"/>
      <c r="O12" s="11"/>
      <c r="P12" s="11"/>
      <c r="Q12" s="11"/>
      <c r="R12" s="11"/>
      <c r="S12" s="11"/>
      <c r="T12" s="11"/>
    </row>
    <row r="13" spans="2:20" s="12" customFormat="1" ht="12.75">
      <c r="B13" s="2"/>
      <c r="C13" s="9" t="s">
        <v>8</v>
      </c>
      <c r="D13" s="30"/>
      <c r="E13" s="24"/>
      <c r="F13" s="24"/>
      <c r="G13" s="3"/>
      <c r="O13" s="11"/>
      <c r="P13" s="11"/>
      <c r="Q13" s="11"/>
      <c r="R13" s="11"/>
      <c r="S13" s="11"/>
      <c r="T13" s="11"/>
    </row>
    <row r="14" spans="2:20" s="12" customFormat="1" ht="12.75">
      <c r="B14" s="2"/>
      <c r="C14" s="23" t="s">
        <v>209</v>
      </c>
      <c r="D14" s="30">
        <v>111</v>
      </c>
      <c r="E14" s="10">
        <f>'Ф1'!F14</f>
        <v>4200</v>
      </c>
      <c r="F14" s="24">
        <v>0</v>
      </c>
      <c r="G14" s="3"/>
      <c r="O14" s="11"/>
      <c r="P14" s="11"/>
      <c r="Q14" s="11"/>
      <c r="R14" s="11"/>
      <c r="S14" s="11"/>
      <c r="T14" s="11"/>
    </row>
    <row r="15" spans="2:20" s="12" customFormat="1" ht="12.75">
      <c r="B15" s="2"/>
      <c r="C15" s="23" t="s">
        <v>210</v>
      </c>
      <c r="D15" s="30">
        <v>112</v>
      </c>
      <c r="E15" s="10">
        <f>'Ф1'!F15</f>
        <v>1.5</v>
      </c>
      <c r="F15" s="24">
        <v>0</v>
      </c>
      <c r="G15" s="3"/>
      <c r="O15" s="11"/>
      <c r="P15" s="11"/>
      <c r="Q15" s="11"/>
      <c r="R15" s="11"/>
      <c r="S15" s="11"/>
      <c r="T15" s="11"/>
    </row>
    <row r="16" spans="2:20" s="12" customFormat="1" ht="12.75">
      <c r="B16" s="2"/>
      <c r="C16" s="23" t="s">
        <v>211</v>
      </c>
      <c r="D16" s="30">
        <v>120</v>
      </c>
      <c r="E16" s="10">
        <f>E14-E15</f>
        <v>4198.5</v>
      </c>
      <c r="F16" s="10">
        <f>F14-F15</f>
        <v>0</v>
      </c>
      <c r="G16" s="3"/>
      <c r="O16" s="11"/>
      <c r="P16" s="11"/>
      <c r="Q16" s="11"/>
      <c r="R16" s="11"/>
      <c r="S16" s="11"/>
      <c r="T16" s="11"/>
    </row>
    <row r="17" spans="2:20" s="12" customFormat="1" ht="12.75">
      <c r="B17" s="2"/>
      <c r="C17" s="9" t="s">
        <v>9</v>
      </c>
      <c r="D17" s="30"/>
      <c r="E17" s="24"/>
      <c r="F17" s="24"/>
      <c r="G17" s="3"/>
      <c r="O17" s="11"/>
      <c r="P17" s="11"/>
      <c r="Q17" s="11"/>
      <c r="R17" s="11"/>
      <c r="S17" s="11"/>
      <c r="T17" s="11"/>
    </row>
    <row r="18" spans="2:20" s="12" customFormat="1" ht="12.75">
      <c r="B18" s="2"/>
      <c r="C18" s="23" t="s">
        <v>209</v>
      </c>
      <c r="D18" s="30">
        <v>121</v>
      </c>
      <c r="E18" s="10">
        <f>'Ф1'!F18</f>
        <v>251</v>
      </c>
      <c r="F18" s="24">
        <v>0</v>
      </c>
      <c r="G18" s="3"/>
      <c r="O18" s="11"/>
      <c r="P18" s="11"/>
      <c r="Q18" s="11"/>
      <c r="R18" s="11"/>
      <c r="S18" s="11"/>
      <c r="T18" s="11"/>
    </row>
    <row r="19" spans="2:20" s="12" customFormat="1" ht="12.75">
      <c r="B19" s="2"/>
      <c r="C19" s="23" t="s">
        <v>210</v>
      </c>
      <c r="D19" s="30">
        <v>122</v>
      </c>
      <c r="E19" s="10">
        <f>'Ф1'!F19</f>
        <v>0.5</v>
      </c>
      <c r="F19" s="24">
        <v>0</v>
      </c>
      <c r="G19" s="3"/>
      <c r="O19" s="11"/>
      <c r="P19" s="11"/>
      <c r="Q19" s="11"/>
      <c r="R19" s="11"/>
      <c r="S19" s="11"/>
      <c r="T19" s="11"/>
    </row>
    <row r="20" spans="2:20" s="12" customFormat="1" ht="12.75">
      <c r="B20" s="2"/>
      <c r="C20" s="23" t="s">
        <v>211</v>
      </c>
      <c r="D20" s="30">
        <v>130</v>
      </c>
      <c r="E20" s="10">
        <f>E18-E19</f>
        <v>250.5</v>
      </c>
      <c r="F20" s="10">
        <f>F18-F19</f>
        <v>0</v>
      </c>
      <c r="G20" s="3"/>
      <c r="O20" s="11"/>
      <c r="P20" s="11"/>
      <c r="Q20" s="11"/>
      <c r="R20" s="11"/>
      <c r="S20" s="11"/>
      <c r="T20" s="11"/>
    </row>
    <row r="21" spans="2:20" s="12" customFormat="1" ht="12.75">
      <c r="B21" s="2"/>
      <c r="C21" s="9" t="s">
        <v>10</v>
      </c>
      <c r="D21" s="30">
        <v>140</v>
      </c>
      <c r="E21" s="10">
        <f>'Ф1'!F21</f>
        <v>48000</v>
      </c>
      <c r="F21" s="24">
        <v>0</v>
      </c>
      <c r="G21" s="3"/>
      <c r="O21" s="11"/>
      <c r="P21" s="11"/>
      <c r="Q21" s="11"/>
      <c r="R21" s="11"/>
      <c r="S21" s="11"/>
      <c r="T21" s="11"/>
    </row>
    <row r="22" spans="2:20" s="12" customFormat="1" ht="12.75">
      <c r="B22" s="2"/>
      <c r="C22" s="23" t="s">
        <v>212</v>
      </c>
      <c r="D22" s="30">
        <v>141</v>
      </c>
      <c r="E22" s="10">
        <f>'Ф1'!F22</f>
        <v>0</v>
      </c>
      <c r="F22" s="24">
        <v>0</v>
      </c>
      <c r="G22" s="3"/>
      <c r="O22" s="11"/>
      <c r="P22" s="11"/>
      <c r="Q22" s="11"/>
      <c r="R22" s="11"/>
      <c r="S22" s="11"/>
      <c r="T22" s="11"/>
    </row>
    <row r="23" spans="2:20" s="12" customFormat="1" ht="12.75">
      <c r="B23" s="2"/>
      <c r="C23" s="9" t="s">
        <v>11</v>
      </c>
      <c r="D23" s="30">
        <v>150</v>
      </c>
      <c r="E23" s="10">
        <f>'Ф1'!F23</f>
        <v>0</v>
      </c>
      <c r="F23" s="24">
        <v>0</v>
      </c>
      <c r="G23" s="3"/>
      <c r="O23" s="11"/>
      <c r="P23" s="11"/>
      <c r="Q23" s="11"/>
      <c r="R23" s="11"/>
      <c r="S23" s="11"/>
      <c r="T23" s="11"/>
    </row>
    <row r="24" spans="2:20" s="12" customFormat="1" ht="12.75">
      <c r="B24" s="2"/>
      <c r="C24" s="9" t="s">
        <v>12</v>
      </c>
      <c r="D24" s="30">
        <v>190</v>
      </c>
      <c r="E24" s="10">
        <f>E12+E16+E20+E21+E23</f>
        <v>402419</v>
      </c>
      <c r="F24" s="10">
        <f>F12+F16+F20+F21+F23</f>
        <v>350039.99771428574</v>
      </c>
      <c r="G24" s="3"/>
      <c r="O24" s="11"/>
      <c r="P24" s="11"/>
      <c r="Q24" s="11"/>
      <c r="R24" s="11"/>
      <c r="S24" s="11"/>
      <c r="T24" s="11"/>
    </row>
    <row r="25" spans="2:20" s="12" customFormat="1" ht="12.75">
      <c r="B25" s="2"/>
      <c r="C25" s="54" t="s">
        <v>13</v>
      </c>
      <c r="D25" s="55"/>
      <c r="E25" s="55"/>
      <c r="F25" s="56"/>
      <c r="G25" s="3"/>
      <c r="O25" s="11"/>
      <c r="P25" s="11"/>
      <c r="Q25" s="11"/>
      <c r="R25" s="11"/>
      <c r="S25" s="11"/>
      <c r="T25" s="11"/>
    </row>
    <row r="26" spans="2:20" s="12" customFormat="1" ht="12.75">
      <c r="B26" s="2"/>
      <c r="C26" s="9" t="s">
        <v>40</v>
      </c>
      <c r="D26" s="30">
        <v>210</v>
      </c>
      <c r="E26" s="10">
        <f>SUM(E27:E35)</f>
        <v>192720</v>
      </c>
      <c r="F26" s="10">
        <f>SUM(F27:F35)</f>
        <v>203002</v>
      </c>
      <c r="G26" s="3"/>
      <c r="O26" s="11"/>
      <c r="P26" s="11"/>
      <c r="Q26" s="11"/>
      <c r="R26" s="11"/>
      <c r="S26" s="11"/>
      <c r="T26" s="11"/>
    </row>
    <row r="27" spans="2:20" s="12" customFormat="1" ht="25.5">
      <c r="B27" s="2"/>
      <c r="C27" s="23" t="s">
        <v>41</v>
      </c>
      <c r="D27" s="30">
        <v>211</v>
      </c>
      <c r="E27" s="10">
        <f>'Ф1'!F27</f>
        <v>58000</v>
      </c>
      <c r="F27" s="24">
        <v>58000</v>
      </c>
      <c r="G27" s="3"/>
      <c r="O27" s="11"/>
      <c r="P27" s="11"/>
      <c r="Q27" s="11"/>
      <c r="R27" s="11"/>
      <c r="S27" s="11"/>
      <c r="T27" s="11"/>
    </row>
    <row r="28" spans="2:20" s="12" customFormat="1" ht="12.75">
      <c r="B28" s="2"/>
      <c r="C28" s="23" t="s">
        <v>42</v>
      </c>
      <c r="D28" s="30">
        <v>212</v>
      </c>
      <c r="E28" s="10">
        <f>'Ф1'!F28</f>
        <v>0</v>
      </c>
      <c r="F28" s="24">
        <v>0</v>
      </c>
      <c r="G28" s="3"/>
      <c r="O28" s="11"/>
      <c r="P28" s="11"/>
      <c r="Q28" s="11"/>
      <c r="R28" s="11"/>
      <c r="S28" s="11"/>
      <c r="T28" s="11"/>
    </row>
    <row r="29" spans="2:20" s="12" customFormat="1" ht="25.5">
      <c r="B29" s="2"/>
      <c r="C29" s="23" t="s">
        <v>43</v>
      </c>
      <c r="D29" s="30">
        <v>213</v>
      </c>
      <c r="E29" s="10">
        <f>'Ф1'!F29</f>
        <v>28000</v>
      </c>
      <c r="F29" s="24">
        <v>25000</v>
      </c>
      <c r="G29" s="3"/>
      <c r="O29" s="11"/>
      <c r="P29" s="11"/>
      <c r="Q29" s="11"/>
      <c r="R29" s="11"/>
      <c r="S29" s="11"/>
      <c r="T29" s="11"/>
    </row>
    <row r="30" spans="2:20" s="12" customFormat="1" ht="12.75">
      <c r="B30" s="2"/>
      <c r="C30" s="23" t="s">
        <v>44</v>
      </c>
      <c r="D30" s="30">
        <v>214</v>
      </c>
      <c r="E30" s="10">
        <f>'Ф1'!F30</f>
        <v>0</v>
      </c>
      <c r="F30" s="24">
        <v>0</v>
      </c>
      <c r="G30" s="3"/>
      <c r="O30" s="11"/>
      <c r="P30" s="11"/>
      <c r="Q30" s="11"/>
      <c r="R30" s="11"/>
      <c r="S30" s="11"/>
      <c r="T30" s="11"/>
    </row>
    <row r="31" spans="2:20" s="12" customFormat="1" ht="12.75">
      <c r="B31" s="2"/>
      <c r="C31" s="23" t="s">
        <v>45</v>
      </c>
      <c r="D31" s="30">
        <v>215</v>
      </c>
      <c r="E31" s="10">
        <f>'Ф1'!F31</f>
        <v>68000</v>
      </c>
      <c r="F31" s="24">
        <v>70000</v>
      </c>
      <c r="G31" s="3"/>
      <c r="O31" s="11"/>
      <c r="P31" s="11"/>
      <c r="Q31" s="11"/>
      <c r="R31" s="11"/>
      <c r="S31" s="11"/>
      <c r="T31" s="11"/>
    </row>
    <row r="32" spans="2:20" s="12" customFormat="1" ht="12.75">
      <c r="B32" s="2"/>
      <c r="C32" s="23" t="s">
        <v>46</v>
      </c>
      <c r="D32" s="30">
        <v>216</v>
      </c>
      <c r="E32" s="10">
        <f>'Ф1'!F32</f>
        <v>19820</v>
      </c>
      <c r="F32" s="24">
        <v>25000</v>
      </c>
      <c r="G32" s="3"/>
      <c r="O32" s="11"/>
      <c r="P32" s="11"/>
      <c r="Q32" s="11"/>
      <c r="R32" s="11"/>
      <c r="S32" s="11"/>
      <c r="T32" s="11"/>
    </row>
    <row r="33" spans="2:20" s="12" customFormat="1" ht="25.5">
      <c r="B33" s="2"/>
      <c r="C33" s="23" t="s">
        <v>47</v>
      </c>
      <c r="D33" s="30">
        <v>217</v>
      </c>
      <c r="E33" s="10">
        <f>'Ф1'!F33</f>
        <v>0</v>
      </c>
      <c r="F33" s="24">
        <v>0</v>
      </c>
      <c r="G33" s="3"/>
      <c r="O33" s="11"/>
      <c r="P33" s="11"/>
      <c r="Q33" s="11"/>
      <c r="R33" s="11"/>
      <c r="S33" s="11"/>
      <c r="T33" s="11"/>
    </row>
    <row r="34" spans="2:20" s="12" customFormat="1" ht="12.75">
      <c r="B34" s="2"/>
      <c r="C34" s="23" t="s">
        <v>48</v>
      </c>
      <c r="D34" s="30">
        <v>218</v>
      </c>
      <c r="E34" s="10">
        <f>'Ф1'!F34</f>
        <v>0</v>
      </c>
      <c r="F34" s="24">
        <v>2</v>
      </c>
      <c r="G34" s="3"/>
      <c r="O34" s="11"/>
      <c r="P34" s="11"/>
      <c r="Q34" s="11"/>
      <c r="R34" s="11"/>
      <c r="S34" s="11"/>
      <c r="T34" s="11"/>
    </row>
    <row r="35" spans="2:20" s="12" customFormat="1" ht="12.75">
      <c r="B35" s="2"/>
      <c r="C35" s="23" t="s">
        <v>49</v>
      </c>
      <c r="D35" s="30">
        <v>219</v>
      </c>
      <c r="E35" s="10">
        <f>'Ф1'!F35</f>
        <v>18900</v>
      </c>
      <c r="F35" s="24">
        <v>25000</v>
      </c>
      <c r="G35" s="3"/>
      <c r="O35" s="11"/>
      <c r="P35" s="11"/>
      <c r="Q35" s="11"/>
      <c r="R35" s="11"/>
      <c r="S35" s="11"/>
      <c r="T35" s="11"/>
    </row>
    <row r="36" spans="2:20" s="12" customFormat="1" ht="25.5">
      <c r="B36" s="2"/>
      <c r="C36" s="9" t="s">
        <v>14</v>
      </c>
      <c r="D36" s="30">
        <v>220</v>
      </c>
      <c r="E36" s="10">
        <f>'Ф1'!F36</f>
        <v>18000</v>
      </c>
      <c r="F36" s="24">
        <v>25000</v>
      </c>
      <c r="G36" s="3"/>
      <c r="O36" s="11"/>
      <c r="P36" s="11"/>
      <c r="Q36" s="11"/>
      <c r="R36" s="11"/>
      <c r="S36" s="11"/>
      <c r="T36" s="11"/>
    </row>
    <row r="37" spans="2:20" s="12" customFormat="1" ht="38.25">
      <c r="B37" s="2"/>
      <c r="C37" s="9" t="s">
        <v>50</v>
      </c>
      <c r="D37" s="30">
        <v>230</v>
      </c>
      <c r="E37" s="10">
        <f>SUM(E38:E39)</f>
        <v>0</v>
      </c>
      <c r="F37" s="10">
        <f>SUM(F38:F39)</f>
        <v>0</v>
      </c>
      <c r="G37" s="3"/>
      <c r="O37" s="11"/>
      <c r="P37" s="11"/>
      <c r="Q37" s="11"/>
      <c r="R37" s="11"/>
      <c r="S37" s="11"/>
      <c r="T37" s="11"/>
    </row>
    <row r="38" spans="2:20" s="12" customFormat="1" ht="12.75">
      <c r="B38" s="2"/>
      <c r="C38" s="23" t="s">
        <v>51</v>
      </c>
      <c r="D38" s="30">
        <v>231</v>
      </c>
      <c r="E38" s="10">
        <f>'Ф1'!F38</f>
        <v>0</v>
      </c>
      <c r="F38" s="24">
        <v>0</v>
      </c>
      <c r="G38" s="3"/>
      <c r="O38" s="11"/>
      <c r="P38" s="11"/>
      <c r="Q38" s="11"/>
      <c r="R38" s="11"/>
      <c r="S38" s="11"/>
      <c r="T38" s="11"/>
    </row>
    <row r="39" spans="2:20" s="12" customFormat="1" ht="12.75">
      <c r="B39" s="2"/>
      <c r="C39" s="23" t="s">
        <v>52</v>
      </c>
      <c r="D39" s="30">
        <v>232</v>
      </c>
      <c r="E39" s="10">
        <f>'Ф1'!F39</f>
        <v>0</v>
      </c>
      <c r="F39" s="24">
        <v>0</v>
      </c>
      <c r="G39" s="3"/>
      <c r="O39" s="11"/>
      <c r="P39" s="11"/>
      <c r="Q39" s="11"/>
      <c r="R39" s="11"/>
      <c r="S39" s="11"/>
      <c r="T39" s="11"/>
    </row>
    <row r="40" spans="2:20" s="12" customFormat="1" ht="38.25">
      <c r="B40" s="2"/>
      <c r="C40" s="9" t="s">
        <v>53</v>
      </c>
      <c r="D40" s="30">
        <v>240</v>
      </c>
      <c r="E40" s="10">
        <f>SUM(E41:E46)</f>
        <v>72800</v>
      </c>
      <c r="F40" s="10">
        <f>SUM(F41:F46)</f>
        <v>101000</v>
      </c>
      <c r="G40" s="3"/>
      <c r="O40" s="11"/>
      <c r="P40" s="11"/>
      <c r="Q40" s="11"/>
      <c r="R40" s="11"/>
      <c r="S40" s="11"/>
      <c r="T40" s="11"/>
    </row>
    <row r="41" spans="2:20" s="12" customFormat="1" ht="12.75">
      <c r="B41" s="2"/>
      <c r="C41" s="23" t="s">
        <v>54</v>
      </c>
      <c r="D41" s="30">
        <v>241</v>
      </c>
      <c r="E41" s="10">
        <f>'Ф1'!F41</f>
        <v>70000</v>
      </c>
      <c r="F41" s="24">
        <v>98000</v>
      </c>
      <c r="G41" s="3"/>
      <c r="O41" s="11"/>
      <c r="P41" s="11"/>
      <c r="Q41" s="11"/>
      <c r="R41" s="11"/>
      <c r="S41" s="11"/>
      <c r="T41" s="11"/>
    </row>
    <row r="42" spans="2:20" s="12" customFormat="1" ht="12.75">
      <c r="B42" s="2"/>
      <c r="C42" s="23" t="s">
        <v>56</v>
      </c>
      <c r="D42" s="30">
        <v>242</v>
      </c>
      <c r="E42" s="10">
        <f>'Ф1'!F42</f>
        <v>0</v>
      </c>
      <c r="F42" s="24">
        <v>0</v>
      </c>
      <c r="G42" s="3"/>
      <c r="O42" s="11"/>
      <c r="P42" s="11"/>
      <c r="Q42" s="11"/>
      <c r="R42" s="11"/>
      <c r="S42" s="11"/>
      <c r="T42" s="11"/>
    </row>
    <row r="43" spans="2:20" s="12" customFormat="1" ht="12.75">
      <c r="B43" s="2"/>
      <c r="C43" s="23" t="s">
        <v>55</v>
      </c>
      <c r="D43" s="30">
        <v>243</v>
      </c>
      <c r="E43" s="10">
        <f>'Ф1'!F43</f>
        <v>0</v>
      </c>
      <c r="F43" s="24">
        <v>0</v>
      </c>
      <c r="G43" s="3"/>
      <c r="O43" s="11"/>
      <c r="P43" s="11"/>
      <c r="Q43" s="11"/>
      <c r="R43" s="11"/>
      <c r="S43" s="11"/>
      <c r="T43" s="11"/>
    </row>
    <row r="44" spans="2:20" s="12" customFormat="1" ht="12.75">
      <c r="B44" s="2"/>
      <c r="C44" s="23" t="s">
        <v>57</v>
      </c>
      <c r="D44" s="30">
        <v>244</v>
      </c>
      <c r="E44" s="10">
        <f>'Ф1'!F44</f>
        <v>0</v>
      </c>
      <c r="F44" s="24">
        <v>0</v>
      </c>
      <c r="G44" s="3"/>
      <c r="O44" s="11"/>
      <c r="P44" s="11"/>
      <c r="Q44" s="11"/>
      <c r="R44" s="11"/>
      <c r="S44" s="11"/>
      <c r="T44" s="11"/>
    </row>
    <row r="45" spans="2:20" s="12" customFormat="1" ht="12.75">
      <c r="B45" s="2"/>
      <c r="C45" s="23" t="s">
        <v>58</v>
      </c>
      <c r="D45" s="30">
        <v>245</v>
      </c>
      <c r="E45" s="10">
        <f>'Ф1'!F45</f>
        <v>0</v>
      </c>
      <c r="F45" s="24">
        <v>0</v>
      </c>
      <c r="G45" s="3"/>
      <c r="O45" s="11"/>
      <c r="P45" s="11"/>
      <c r="Q45" s="11"/>
      <c r="R45" s="11"/>
      <c r="S45" s="11"/>
      <c r="T45" s="11"/>
    </row>
    <row r="46" spans="2:20" s="12" customFormat="1" ht="12.75">
      <c r="B46" s="2"/>
      <c r="C46" s="23" t="s">
        <v>52</v>
      </c>
      <c r="D46" s="30">
        <v>249</v>
      </c>
      <c r="E46" s="10">
        <f>'Ф1'!F46</f>
        <v>2800</v>
      </c>
      <c r="F46" s="24">
        <v>3000</v>
      </c>
      <c r="G46" s="3"/>
      <c r="O46" s="11"/>
      <c r="P46" s="11"/>
      <c r="Q46" s="11"/>
      <c r="R46" s="11"/>
      <c r="S46" s="11"/>
      <c r="T46" s="11"/>
    </row>
    <row r="47" spans="2:20" s="12" customFormat="1" ht="12.75">
      <c r="B47" s="2"/>
      <c r="C47" s="9" t="s">
        <v>59</v>
      </c>
      <c r="D47" s="30">
        <v>250</v>
      </c>
      <c r="E47" s="10">
        <f>'Ф1'!F47</f>
        <v>0</v>
      </c>
      <c r="F47" s="10">
        <f>SUM(F48:F49)</f>
        <v>0</v>
      </c>
      <c r="G47" s="3"/>
      <c r="O47" s="11"/>
      <c r="P47" s="11"/>
      <c r="Q47" s="11"/>
      <c r="R47" s="11"/>
      <c r="S47" s="11"/>
      <c r="T47" s="11"/>
    </row>
    <row r="48" spans="2:20" s="12" customFormat="1" ht="12.75">
      <c r="B48" s="2"/>
      <c r="C48" s="23" t="s">
        <v>60</v>
      </c>
      <c r="D48" s="30">
        <v>251</v>
      </c>
      <c r="E48" s="10">
        <f>'Ф1'!F48</f>
        <v>0</v>
      </c>
      <c r="F48" s="24">
        <v>0</v>
      </c>
      <c r="G48" s="3"/>
      <c r="O48" s="11"/>
      <c r="P48" s="11"/>
      <c r="Q48" s="11"/>
      <c r="R48" s="11"/>
      <c r="S48" s="11"/>
      <c r="T48" s="11"/>
    </row>
    <row r="49" spans="2:20" s="12" customFormat="1" ht="12.75">
      <c r="B49" s="2"/>
      <c r="C49" s="23" t="s">
        <v>61</v>
      </c>
      <c r="D49" s="30">
        <v>252</v>
      </c>
      <c r="E49" s="10">
        <f>'Ф1'!F49</f>
        <v>0</v>
      </c>
      <c r="F49" s="24">
        <v>0</v>
      </c>
      <c r="G49" s="3"/>
      <c r="O49" s="11"/>
      <c r="P49" s="11"/>
      <c r="Q49" s="11"/>
      <c r="R49" s="11"/>
      <c r="S49" s="11"/>
      <c r="T49" s="11"/>
    </row>
    <row r="50" spans="2:20" s="12" customFormat="1" ht="12.75">
      <c r="B50" s="2"/>
      <c r="C50" s="9" t="s">
        <v>62</v>
      </c>
      <c r="D50" s="30">
        <v>260</v>
      </c>
      <c r="E50" s="10">
        <f>'Ф1'!F50</f>
        <v>6500</v>
      </c>
      <c r="F50" s="24">
        <v>6800</v>
      </c>
      <c r="G50" s="3"/>
      <c r="O50" s="11"/>
      <c r="P50" s="11"/>
      <c r="Q50" s="11"/>
      <c r="R50" s="11"/>
      <c r="S50" s="11"/>
      <c r="T50" s="11"/>
    </row>
    <row r="51" spans="2:20" s="12" customFormat="1" ht="12.75">
      <c r="B51" s="2"/>
      <c r="C51" s="23" t="s">
        <v>63</v>
      </c>
      <c r="D51" s="30">
        <v>261</v>
      </c>
      <c r="E51" s="10">
        <f>'Ф1'!F51</f>
        <v>0</v>
      </c>
      <c r="F51" s="24">
        <v>0</v>
      </c>
      <c r="G51" s="3"/>
      <c r="O51" s="11"/>
      <c r="P51" s="11"/>
      <c r="Q51" s="11"/>
      <c r="R51" s="11"/>
      <c r="S51" s="11"/>
      <c r="T51" s="11"/>
    </row>
    <row r="52" spans="2:20" s="12" customFormat="1" ht="12.75">
      <c r="B52" s="2"/>
      <c r="C52" s="9" t="s">
        <v>15</v>
      </c>
      <c r="D52" s="30">
        <v>270</v>
      </c>
      <c r="E52" s="10">
        <f>'Ф1'!F52</f>
        <v>84</v>
      </c>
      <c r="F52" s="24">
        <v>25</v>
      </c>
      <c r="G52" s="3"/>
      <c r="O52" s="11"/>
      <c r="P52" s="11"/>
      <c r="Q52" s="11"/>
      <c r="R52" s="11"/>
      <c r="S52" s="11"/>
      <c r="T52" s="11"/>
    </row>
    <row r="53" spans="2:20" s="12" customFormat="1" ht="12.75">
      <c r="B53" s="2"/>
      <c r="C53" s="9" t="s">
        <v>16</v>
      </c>
      <c r="D53" s="30">
        <v>280</v>
      </c>
      <c r="E53" s="10">
        <f>'Ф1'!F53</f>
        <v>0</v>
      </c>
      <c r="F53" s="24">
        <v>0</v>
      </c>
      <c r="G53" s="3"/>
      <c r="O53" s="11"/>
      <c r="P53" s="11"/>
      <c r="Q53" s="11"/>
      <c r="R53" s="11"/>
      <c r="S53" s="11"/>
      <c r="T53" s="11"/>
    </row>
    <row r="54" spans="2:20" s="12" customFormat="1" ht="12.75">
      <c r="B54" s="2"/>
      <c r="C54" s="9" t="s">
        <v>17</v>
      </c>
      <c r="D54" s="30">
        <v>290</v>
      </c>
      <c r="E54" s="10">
        <f>E26+E36+E37+E40+E47+E50+E52+E53</f>
        <v>290104</v>
      </c>
      <c r="F54" s="10">
        <f>F26+F36+F37+F40+F47+F50+F52+F53</f>
        <v>335827</v>
      </c>
      <c r="G54" s="3"/>
      <c r="O54" s="11"/>
      <c r="P54" s="11"/>
      <c r="Q54" s="11"/>
      <c r="R54" s="11"/>
      <c r="S54" s="11"/>
      <c r="T54" s="11"/>
    </row>
    <row r="55" spans="2:20" s="12" customFormat="1" ht="12.75">
      <c r="B55" s="2"/>
      <c r="C55" s="9" t="s">
        <v>18</v>
      </c>
      <c r="D55" s="30">
        <v>300</v>
      </c>
      <c r="E55" s="10">
        <f>E54+E24</f>
        <v>692523</v>
      </c>
      <c r="F55" s="10">
        <f>F54+F24</f>
        <v>685866.9977142857</v>
      </c>
      <c r="G55" s="3"/>
      <c r="O55" s="11"/>
      <c r="P55" s="11"/>
      <c r="Q55" s="11"/>
      <c r="R55" s="11"/>
      <c r="S55" s="11"/>
      <c r="T55" s="11"/>
    </row>
    <row r="56" spans="2:20" s="12" customFormat="1" ht="12.75">
      <c r="B56" s="2"/>
      <c r="C56" s="57" t="s">
        <v>20</v>
      </c>
      <c r="D56" s="58"/>
      <c r="E56" s="58"/>
      <c r="F56" s="59"/>
      <c r="G56" s="3"/>
      <c r="O56" s="11"/>
      <c r="P56" s="11"/>
      <c r="Q56" s="11"/>
      <c r="R56" s="11"/>
      <c r="S56" s="11"/>
      <c r="T56" s="11"/>
    </row>
    <row r="57" spans="2:20" s="12" customFormat="1" ht="12.75">
      <c r="B57" s="2"/>
      <c r="C57" s="54" t="s">
        <v>21</v>
      </c>
      <c r="D57" s="55"/>
      <c r="E57" s="55"/>
      <c r="F57" s="56"/>
      <c r="G57" s="3"/>
      <c r="O57" s="11"/>
      <c r="P57" s="11"/>
      <c r="Q57" s="11"/>
      <c r="R57" s="11"/>
      <c r="S57" s="11"/>
      <c r="T57" s="11"/>
    </row>
    <row r="58" spans="2:20" s="12" customFormat="1" ht="12.75">
      <c r="B58" s="2"/>
      <c r="C58" s="9" t="s">
        <v>22</v>
      </c>
      <c r="D58" s="30">
        <v>410</v>
      </c>
      <c r="E58" s="10">
        <f>'Ф1'!F58</f>
        <v>2000</v>
      </c>
      <c r="F58" s="24">
        <v>2100</v>
      </c>
      <c r="G58" s="3"/>
      <c r="O58" s="11"/>
      <c r="P58" s="11"/>
      <c r="Q58" s="11"/>
      <c r="R58" s="11"/>
      <c r="S58" s="11"/>
      <c r="T58" s="11"/>
    </row>
    <row r="59" spans="2:20" s="12" customFormat="1" ht="12.75">
      <c r="B59" s="2"/>
      <c r="C59" s="9" t="s">
        <v>64</v>
      </c>
      <c r="D59" s="30">
        <v>420</v>
      </c>
      <c r="E59" s="10">
        <f>SUM(E60:E61)</f>
        <v>8500</v>
      </c>
      <c r="F59" s="10">
        <f>SUM(F60:F61)</f>
        <v>0</v>
      </c>
      <c r="G59" s="3"/>
      <c r="O59" s="11"/>
      <c r="P59" s="11"/>
      <c r="Q59" s="11"/>
      <c r="R59" s="11"/>
      <c r="S59" s="11"/>
      <c r="T59" s="11"/>
    </row>
    <row r="60" spans="2:20" s="12" customFormat="1" ht="25.5">
      <c r="B60" s="2"/>
      <c r="C60" s="23" t="s">
        <v>65</v>
      </c>
      <c r="D60" s="30">
        <v>421</v>
      </c>
      <c r="E60" s="10">
        <f>'Ф1'!F60</f>
        <v>0</v>
      </c>
      <c r="F60" s="24">
        <v>0</v>
      </c>
      <c r="G60" s="3"/>
      <c r="O60" s="11"/>
      <c r="P60" s="11"/>
      <c r="Q60" s="11"/>
      <c r="R60" s="11"/>
      <c r="S60" s="11"/>
      <c r="T60" s="11"/>
    </row>
    <row r="61" spans="2:20" s="12" customFormat="1" ht="25.5">
      <c r="B61" s="2"/>
      <c r="C61" s="23" t="s">
        <v>66</v>
      </c>
      <c r="D61" s="30">
        <v>422</v>
      </c>
      <c r="E61" s="10">
        <f>'Ф1'!F61</f>
        <v>8500</v>
      </c>
      <c r="F61" s="24">
        <v>0</v>
      </c>
      <c r="G61" s="3"/>
      <c r="O61" s="11"/>
      <c r="P61" s="11"/>
      <c r="Q61" s="11"/>
      <c r="R61" s="11"/>
      <c r="S61" s="11"/>
      <c r="T61" s="11"/>
    </row>
    <row r="62" spans="2:20" s="12" customFormat="1" ht="12.75">
      <c r="B62" s="2"/>
      <c r="C62" s="9" t="s">
        <v>23</v>
      </c>
      <c r="D62" s="30">
        <v>430</v>
      </c>
      <c r="E62" s="10">
        <f>'Ф1'!F62</f>
        <v>450000</v>
      </c>
      <c r="F62" s="24">
        <v>490273</v>
      </c>
      <c r="G62" s="3"/>
      <c r="O62" s="11"/>
      <c r="P62" s="11"/>
      <c r="Q62" s="11"/>
      <c r="R62" s="11"/>
      <c r="S62" s="11"/>
      <c r="T62" s="11"/>
    </row>
    <row r="63" spans="2:20" s="12" customFormat="1" ht="12.75">
      <c r="B63" s="2"/>
      <c r="C63" s="9" t="s">
        <v>24</v>
      </c>
      <c r="D63" s="30">
        <v>440</v>
      </c>
      <c r="E63" s="10">
        <f>'Ф1'!F63</f>
        <v>0</v>
      </c>
      <c r="F63" s="24">
        <v>0</v>
      </c>
      <c r="G63" s="3"/>
      <c r="O63" s="11"/>
      <c r="P63" s="11"/>
      <c r="Q63" s="11"/>
      <c r="R63" s="11"/>
      <c r="S63" s="11"/>
      <c r="T63" s="11"/>
    </row>
    <row r="64" spans="2:20" s="12" customFormat="1" ht="25.5">
      <c r="B64" s="2"/>
      <c r="C64" s="9" t="s">
        <v>25</v>
      </c>
      <c r="D64" s="30">
        <v>450</v>
      </c>
      <c r="E64" s="10">
        <f>'Ф1'!F64</f>
        <v>45000</v>
      </c>
      <c r="F64" s="24">
        <v>-6</v>
      </c>
      <c r="G64" s="3"/>
      <c r="O64" s="11"/>
      <c r="P64" s="11"/>
      <c r="Q64" s="11"/>
      <c r="R64" s="11"/>
      <c r="S64" s="11"/>
      <c r="T64" s="11"/>
    </row>
    <row r="65" spans="2:20" s="12" customFormat="1" ht="12.75">
      <c r="B65" s="2"/>
      <c r="C65" s="9" t="s">
        <v>26</v>
      </c>
      <c r="D65" s="30">
        <v>460</v>
      </c>
      <c r="E65" s="10">
        <f>'Ф1'!F65</f>
        <v>0</v>
      </c>
      <c r="F65" s="24">
        <v>0</v>
      </c>
      <c r="G65" s="3"/>
      <c r="O65" s="11"/>
      <c r="P65" s="11"/>
      <c r="Q65" s="11"/>
      <c r="R65" s="11"/>
      <c r="S65" s="11"/>
      <c r="T65" s="11"/>
    </row>
    <row r="66" spans="2:20" s="12" customFormat="1" ht="12.75">
      <c r="B66" s="2"/>
      <c r="C66" s="9" t="s">
        <v>27</v>
      </c>
      <c r="D66" s="30">
        <v>470</v>
      </c>
      <c r="E66" s="10">
        <f>'Ф1'!F66</f>
        <v>0</v>
      </c>
      <c r="F66" s="24">
        <v>0</v>
      </c>
      <c r="G66" s="3"/>
      <c r="O66" s="11"/>
      <c r="P66" s="11"/>
      <c r="Q66" s="11"/>
      <c r="R66" s="11"/>
      <c r="S66" s="11"/>
      <c r="T66" s="11"/>
    </row>
    <row r="67" spans="1:20" s="12" customFormat="1" ht="12.75">
      <c r="A67" s="38"/>
      <c r="B67" s="2"/>
      <c r="C67" s="9" t="s">
        <v>28</v>
      </c>
      <c r="D67" s="30">
        <v>490</v>
      </c>
      <c r="E67" s="10">
        <f>E58+E59+E62+E63+E64+E65+E66</f>
        <v>505500</v>
      </c>
      <c r="F67" s="10">
        <f>F58+F59+F62+F63+F64+F65+F66</f>
        <v>492367</v>
      </c>
      <c r="G67" s="3"/>
      <c r="H67" s="38"/>
      <c r="O67" s="11"/>
      <c r="P67" s="11"/>
      <c r="Q67" s="11"/>
      <c r="R67" s="11"/>
      <c r="S67" s="11"/>
      <c r="T67" s="11"/>
    </row>
    <row r="68" spans="2:20" s="12" customFormat="1" ht="12.75">
      <c r="B68" s="2"/>
      <c r="C68" s="54" t="s">
        <v>29</v>
      </c>
      <c r="D68" s="55"/>
      <c r="E68" s="55"/>
      <c r="F68" s="56"/>
      <c r="G68" s="3"/>
      <c r="O68" s="11"/>
      <c r="P68" s="11"/>
      <c r="Q68" s="11"/>
      <c r="R68" s="11"/>
      <c r="S68" s="11"/>
      <c r="T68" s="11"/>
    </row>
    <row r="69" spans="2:20" s="12" customFormat="1" ht="12.75">
      <c r="B69" s="2"/>
      <c r="C69" s="9" t="s">
        <v>30</v>
      </c>
      <c r="D69" s="30">
        <v>510</v>
      </c>
      <c r="E69" s="10">
        <f>'Ф1'!F69</f>
        <v>2800</v>
      </c>
      <c r="F69" s="24">
        <v>1500</v>
      </c>
      <c r="G69" s="3"/>
      <c r="O69" s="11"/>
      <c r="P69" s="11"/>
      <c r="Q69" s="11"/>
      <c r="R69" s="11"/>
      <c r="S69" s="11"/>
      <c r="T69" s="11"/>
    </row>
    <row r="70" spans="2:20" s="12" customFormat="1" ht="12.75">
      <c r="B70" s="2"/>
      <c r="C70" s="9" t="s">
        <v>31</v>
      </c>
      <c r="D70" s="30">
        <v>520</v>
      </c>
      <c r="E70" s="10">
        <f>'Ф1'!F70</f>
        <v>0</v>
      </c>
      <c r="F70" s="24">
        <v>0</v>
      </c>
      <c r="G70" s="3"/>
      <c r="O70" s="11"/>
      <c r="P70" s="11"/>
      <c r="Q70" s="11"/>
      <c r="R70" s="11"/>
      <c r="S70" s="11"/>
      <c r="T70" s="11"/>
    </row>
    <row r="71" spans="2:20" s="12" customFormat="1" ht="12.75">
      <c r="B71" s="2"/>
      <c r="C71" s="9" t="s">
        <v>32</v>
      </c>
      <c r="D71" s="30">
        <v>590</v>
      </c>
      <c r="E71" s="10">
        <f>E69+E70</f>
        <v>2800</v>
      </c>
      <c r="F71" s="10">
        <f>F69+F70</f>
        <v>1500</v>
      </c>
      <c r="G71" s="3"/>
      <c r="O71" s="11"/>
      <c r="P71" s="11"/>
      <c r="Q71" s="11"/>
      <c r="R71" s="11"/>
      <c r="S71" s="11"/>
      <c r="T71" s="11"/>
    </row>
    <row r="72" spans="2:20" s="12" customFormat="1" ht="12.75">
      <c r="B72" s="2"/>
      <c r="C72" s="54" t="s">
        <v>33</v>
      </c>
      <c r="D72" s="55"/>
      <c r="E72" s="55"/>
      <c r="F72" s="56"/>
      <c r="G72" s="3"/>
      <c r="O72" s="11"/>
      <c r="P72" s="11"/>
      <c r="Q72" s="11"/>
      <c r="R72" s="11"/>
      <c r="S72" s="11"/>
      <c r="T72" s="11"/>
    </row>
    <row r="73" spans="2:20" s="12" customFormat="1" ht="12.75">
      <c r="B73" s="2"/>
      <c r="C73" s="9" t="s">
        <v>34</v>
      </c>
      <c r="D73" s="30">
        <v>610</v>
      </c>
      <c r="E73" s="10">
        <f>'Ф1'!F73</f>
        <v>18000</v>
      </c>
      <c r="F73" s="24">
        <v>12000</v>
      </c>
      <c r="G73" s="3"/>
      <c r="O73" s="11"/>
      <c r="P73" s="11"/>
      <c r="Q73" s="11"/>
      <c r="R73" s="11"/>
      <c r="S73" s="11"/>
      <c r="T73" s="11"/>
    </row>
    <row r="74" spans="2:20" s="12" customFormat="1" ht="12.75">
      <c r="B74" s="2"/>
      <c r="C74" s="9" t="s">
        <v>67</v>
      </c>
      <c r="D74" s="30">
        <v>620</v>
      </c>
      <c r="E74" s="10">
        <f>SUM(E75:E80)</f>
        <v>166223</v>
      </c>
      <c r="F74" s="10">
        <f>SUM(F75:F80)</f>
        <v>180000</v>
      </c>
      <c r="G74" s="3"/>
      <c r="O74" s="11"/>
      <c r="P74" s="11"/>
      <c r="Q74" s="11"/>
      <c r="R74" s="11"/>
      <c r="S74" s="11"/>
      <c r="T74" s="11"/>
    </row>
    <row r="75" spans="2:20" s="12" customFormat="1" ht="12.75">
      <c r="B75" s="2"/>
      <c r="C75" s="23" t="s">
        <v>68</v>
      </c>
      <c r="D75" s="30">
        <v>621</v>
      </c>
      <c r="E75" s="10">
        <f>'Ф1'!F75</f>
        <v>166223</v>
      </c>
      <c r="F75" s="24">
        <v>180000</v>
      </c>
      <c r="G75" s="3"/>
      <c r="O75" s="11"/>
      <c r="P75" s="11"/>
      <c r="Q75" s="11"/>
      <c r="R75" s="11"/>
      <c r="S75" s="11"/>
      <c r="T75" s="11"/>
    </row>
    <row r="76" spans="2:20" s="12" customFormat="1" ht="12.75">
      <c r="B76" s="2"/>
      <c r="C76" s="23" t="s">
        <v>69</v>
      </c>
      <c r="D76" s="30">
        <v>622</v>
      </c>
      <c r="E76" s="10">
        <f>'Ф1'!F76</f>
        <v>0</v>
      </c>
      <c r="F76" s="24">
        <v>0</v>
      </c>
      <c r="G76" s="3"/>
      <c r="O76" s="11"/>
      <c r="P76" s="11"/>
      <c r="Q76" s="11"/>
      <c r="R76" s="11"/>
      <c r="S76" s="11"/>
      <c r="T76" s="11"/>
    </row>
    <row r="77" spans="2:20" s="12" customFormat="1" ht="12.75">
      <c r="B77" s="2"/>
      <c r="C77" s="23" t="s">
        <v>70</v>
      </c>
      <c r="D77" s="30">
        <v>623</v>
      </c>
      <c r="E77" s="10">
        <f>'Ф1'!F77</f>
        <v>0</v>
      </c>
      <c r="F77" s="24">
        <v>0</v>
      </c>
      <c r="G77" s="3"/>
      <c r="O77" s="11"/>
      <c r="P77" s="11"/>
      <c r="Q77" s="11"/>
      <c r="R77" s="11"/>
      <c r="S77" s="11"/>
      <c r="T77" s="11"/>
    </row>
    <row r="78" spans="2:20" s="12" customFormat="1" ht="12.75">
      <c r="B78" s="2"/>
      <c r="C78" s="23" t="s">
        <v>71</v>
      </c>
      <c r="D78" s="30">
        <v>625</v>
      </c>
      <c r="E78" s="10">
        <f>'Ф1'!F78</f>
        <v>0</v>
      </c>
      <c r="F78" s="24">
        <v>0</v>
      </c>
      <c r="G78" s="3"/>
      <c r="O78" s="11"/>
      <c r="P78" s="11"/>
      <c r="Q78" s="11"/>
      <c r="R78" s="11"/>
      <c r="S78" s="11"/>
      <c r="T78" s="11"/>
    </row>
    <row r="79" spans="2:20" s="12" customFormat="1" ht="12.75">
      <c r="B79" s="2"/>
      <c r="C79" s="23" t="s">
        <v>72</v>
      </c>
      <c r="D79" s="30">
        <v>627</v>
      </c>
      <c r="E79" s="10">
        <f>'Ф1'!F79</f>
        <v>0</v>
      </c>
      <c r="F79" s="24">
        <v>0</v>
      </c>
      <c r="G79" s="3"/>
      <c r="O79" s="11"/>
      <c r="P79" s="11"/>
      <c r="Q79" s="11"/>
      <c r="R79" s="11"/>
      <c r="S79" s="11"/>
      <c r="T79" s="11"/>
    </row>
    <row r="80" spans="2:20" s="12" customFormat="1" ht="25.5">
      <c r="B80" s="2"/>
      <c r="C80" s="23" t="s">
        <v>73</v>
      </c>
      <c r="D80" s="30">
        <v>628</v>
      </c>
      <c r="E80" s="10">
        <f>'Ф1'!F80</f>
        <v>0</v>
      </c>
      <c r="F80" s="24">
        <v>0</v>
      </c>
      <c r="G80" s="3"/>
      <c r="O80" s="11"/>
      <c r="P80" s="11"/>
      <c r="Q80" s="11"/>
      <c r="R80" s="11"/>
      <c r="S80" s="11"/>
      <c r="T80" s="11"/>
    </row>
    <row r="81" spans="2:20" s="12" customFormat="1" ht="25.5">
      <c r="B81" s="2"/>
      <c r="C81" s="9" t="s">
        <v>74</v>
      </c>
      <c r="D81" s="30">
        <v>630</v>
      </c>
      <c r="E81" s="10">
        <f>SUM(E82:E83)</f>
        <v>0</v>
      </c>
      <c r="F81" s="10">
        <f>SUM(F82:F83)</f>
        <v>0</v>
      </c>
      <c r="G81" s="3"/>
      <c r="O81" s="11"/>
      <c r="P81" s="11"/>
      <c r="Q81" s="11"/>
      <c r="R81" s="11"/>
      <c r="S81" s="11"/>
      <c r="T81" s="11"/>
    </row>
    <row r="82" spans="2:20" s="12" customFormat="1" ht="12.75">
      <c r="B82" s="2"/>
      <c r="C82" s="23" t="s">
        <v>75</v>
      </c>
      <c r="D82" s="30">
        <v>631</v>
      </c>
      <c r="E82" s="10">
        <f>'Ф1'!F82</f>
        <v>0</v>
      </c>
      <c r="F82" s="24">
        <v>0</v>
      </c>
      <c r="G82" s="3"/>
      <c r="O82" s="11"/>
      <c r="P82" s="11"/>
      <c r="Q82" s="11"/>
      <c r="R82" s="11"/>
      <c r="S82" s="11"/>
      <c r="T82" s="11"/>
    </row>
    <row r="83" spans="2:20" s="12" customFormat="1" ht="12.75">
      <c r="B83" s="2"/>
      <c r="C83" s="23" t="s">
        <v>76</v>
      </c>
      <c r="D83" s="30">
        <v>632</v>
      </c>
      <c r="E83" s="10">
        <f>'Ф1'!F83</f>
        <v>0</v>
      </c>
      <c r="F83" s="24">
        <v>0</v>
      </c>
      <c r="G83" s="3"/>
      <c r="O83" s="11"/>
      <c r="P83" s="11"/>
      <c r="Q83" s="11"/>
      <c r="R83" s="11"/>
      <c r="S83" s="11"/>
      <c r="T83" s="11"/>
    </row>
    <row r="84" spans="2:20" s="12" customFormat="1" ht="12.75">
      <c r="B84" s="2"/>
      <c r="C84" s="9" t="s">
        <v>35</v>
      </c>
      <c r="D84" s="30">
        <v>640</v>
      </c>
      <c r="E84" s="10">
        <f>'Ф1'!F84</f>
        <v>0</v>
      </c>
      <c r="F84" s="24">
        <v>0</v>
      </c>
      <c r="G84" s="3"/>
      <c r="O84" s="11"/>
      <c r="P84" s="11"/>
      <c r="Q84" s="11"/>
      <c r="R84" s="11"/>
      <c r="S84" s="11"/>
      <c r="T84" s="11"/>
    </row>
    <row r="85" spans="2:20" s="12" customFormat="1" ht="12.75">
      <c r="B85" s="2"/>
      <c r="C85" s="9" t="s">
        <v>36</v>
      </c>
      <c r="D85" s="30">
        <v>650</v>
      </c>
      <c r="E85" s="10">
        <f>'Ф1'!F85</f>
        <v>0</v>
      </c>
      <c r="F85" s="24">
        <v>0</v>
      </c>
      <c r="G85" s="3"/>
      <c r="O85" s="11"/>
      <c r="P85" s="11"/>
      <c r="Q85" s="11"/>
      <c r="R85" s="11"/>
      <c r="S85" s="11"/>
      <c r="T85" s="11"/>
    </row>
    <row r="86" spans="1:20" s="12" customFormat="1" ht="12.75">
      <c r="A86" s="38"/>
      <c r="B86" s="2"/>
      <c r="C86" s="9" t="s">
        <v>37</v>
      </c>
      <c r="D86" s="30">
        <v>690</v>
      </c>
      <c r="E86" s="10">
        <f>E73+E74+E81+E84+E85</f>
        <v>184223</v>
      </c>
      <c r="F86" s="10">
        <f>F73+F74+F81+F84+F85</f>
        <v>192000</v>
      </c>
      <c r="G86" s="3"/>
      <c r="H86" s="38"/>
      <c r="O86" s="11"/>
      <c r="P86" s="11"/>
      <c r="Q86" s="11"/>
      <c r="R86" s="11"/>
      <c r="S86" s="11"/>
      <c r="T86" s="11"/>
    </row>
    <row r="87" spans="2:20" s="12" customFormat="1" ht="12.75">
      <c r="B87" s="2"/>
      <c r="C87" s="31" t="s">
        <v>38</v>
      </c>
      <c r="D87" s="34">
        <v>700</v>
      </c>
      <c r="E87" s="32">
        <f>E67+E71+E86</f>
        <v>692523</v>
      </c>
      <c r="F87" s="32">
        <f>F67+F71+F86</f>
        <v>685867</v>
      </c>
      <c r="G87" s="3"/>
      <c r="O87" s="11"/>
      <c r="P87" s="11"/>
      <c r="Q87" s="11"/>
      <c r="R87" s="11"/>
      <c r="S87" s="11"/>
      <c r="T87" s="11"/>
    </row>
    <row r="88" spans="2:20" s="12" customFormat="1" ht="12.75">
      <c r="B88" s="2"/>
      <c r="C88" s="35" t="s">
        <v>39</v>
      </c>
      <c r="D88" s="36"/>
      <c r="E88" s="37">
        <f>E87-E55</f>
        <v>0</v>
      </c>
      <c r="F88" s="37">
        <f>F87-F55</f>
        <v>0.0022857142612338066</v>
      </c>
      <c r="G88" s="3"/>
      <c r="O88" s="11"/>
      <c r="P88" s="11"/>
      <c r="Q88" s="11"/>
      <c r="R88" s="11"/>
      <c r="S88" s="11"/>
      <c r="T88" s="11"/>
    </row>
    <row r="89" spans="2:20" s="12" customFormat="1" ht="18">
      <c r="B89" s="18"/>
      <c r="C89" s="33"/>
      <c r="D89" s="33"/>
      <c r="E89" s="33"/>
      <c r="F89" s="33"/>
      <c r="G89" s="19"/>
      <c r="O89" s="11"/>
      <c r="P89" s="11"/>
      <c r="Q89" s="11"/>
      <c r="R89" s="11"/>
      <c r="S89" s="11"/>
      <c r="T89" s="11"/>
    </row>
    <row r="90" spans="2:20" s="12" customFormat="1" ht="12.75">
      <c r="B90" s="2"/>
      <c r="C90" s="33"/>
      <c r="D90" s="33"/>
      <c r="E90" s="33" t="str">
        <f>F5</f>
        <v>(млн.руб)</v>
      </c>
      <c r="F90" s="33"/>
      <c r="G90" s="3"/>
      <c r="O90" s="11"/>
      <c r="P90" s="11"/>
      <c r="Q90" s="11"/>
      <c r="R90" s="11"/>
      <c r="S90" s="11"/>
      <c r="T90" s="11"/>
    </row>
    <row r="91" spans="2:20" s="12" customFormat="1" ht="38.25">
      <c r="B91" s="2"/>
      <c r="C91" s="29" t="s">
        <v>77</v>
      </c>
      <c r="D91" s="29" t="s">
        <v>78</v>
      </c>
      <c r="E91" s="29" t="s">
        <v>213</v>
      </c>
      <c r="F91" s="29" t="s">
        <v>79</v>
      </c>
      <c r="G91" s="3"/>
      <c r="O91" s="11"/>
      <c r="P91" s="11"/>
      <c r="Q91" s="11"/>
      <c r="R91" s="11"/>
      <c r="S91" s="11"/>
      <c r="T91" s="11"/>
    </row>
    <row r="92" spans="2:20" s="12" customFormat="1" ht="12.75">
      <c r="B92" s="2"/>
      <c r="C92" s="9" t="s">
        <v>80</v>
      </c>
      <c r="D92" s="29" t="s">
        <v>81</v>
      </c>
      <c r="E92" s="10">
        <f>'Ф1'!F92</f>
        <v>0</v>
      </c>
      <c r="F92" s="24">
        <v>0</v>
      </c>
      <c r="G92" s="3"/>
      <c r="O92" s="11"/>
      <c r="P92" s="11"/>
      <c r="Q92" s="11"/>
      <c r="R92" s="11"/>
      <c r="S92" s="11"/>
      <c r="T92" s="11"/>
    </row>
    <row r="93" spans="2:20" s="12" customFormat="1" ht="25.5">
      <c r="B93" s="2"/>
      <c r="C93" s="9" t="s">
        <v>82</v>
      </c>
      <c r="D93" s="29" t="s">
        <v>83</v>
      </c>
      <c r="E93" s="10">
        <f>'Ф1'!F93</f>
        <v>5000</v>
      </c>
      <c r="F93" s="24">
        <v>4500</v>
      </c>
      <c r="G93" s="3"/>
      <c r="O93" s="11"/>
      <c r="P93" s="11"/>
      <c r="Q93" s="11"/>
      <c r="R93" s="11"/>
      <c r="S93" s="11"/>
      <c r="T93" s="11"/>
    </row>
    <row r="94" spans="2:20" s="12" customFormat="1" ht="12.75">
      <c r="B94" s="2"/>
      <c r="C94" s="9" t="s">
        <v>84</v>
      </c>
      <c r="D94" s="29" t="s">
        <v>85</v>
      </c>
      <c r="E94" s="10">
        <f>'Ф1'!F94</f>
        <v>0</v>
      </c>
      <c r="F94" s="24">
        <v>0</v>
      </c>
      <c r="G94" s="3"/>
      <c r="O94" s="11"/>
      <c r="P94" s="11"/>
      <c r="Q94" s="11"/>
      <c r="R94" s="11"/>
      <c r="S94" s="11"/>
      <c r="T94" s="11"/>
    </row>
    <row r="95" spans="2:20" s="12" customFormat="1" ht="12.75">
      <c r="B95" s="2"/>
      <c r="C95" s="9" t="s">
        <v>86</v>
      </c>
      <c r="D95" s="29" t="s">
        <v>87</v>
      </c>
      <c r="E95" s="10">
        <f>'Ф1'!F95</f>
        <v>0</v>
      </c>
      <c r="F95" s="24">
        <v>0</v>
      </c>
      <c r="G95" s="3"/>
      <c r="O95" s="11"/>
      <c r="P95" s="11"/>
      <c r="Q95" s="11"/>
      <c r="R95" s="11"/>
      <c r="S95" s="11"/>
      <c r="T95" s="11"/>
    </row>
    <row r="96" spans="2:20" s="12" customFormat="1" ht="12.75">
      <c r="B96" s="2"/>
      <c r="C96" s="9" t="s">
        <v>88</v>
      </c>
      <c r="D96" s="29" t="s">
        <v>89</v>
      </c>
      <c r="E96" s="10">
        <f>'Ф1'!F96</f>
        <v>20</v>
      </c>
      <c r="F96" s="24">
        <v>25</v>
      </c>
      <c r="G96" s="3"/>
      <c r="O96" s="11"/>
      <c r="P96" s="11"/>
      <c r="Q96" s="11"/>
      <c r="R96" s="11"/>
      <c r="S96" s="11"/>
      <c r="T96" s="11"/>
    </row>
    <row r="97" spans="2:20" s="12" customFormat="1" ht="12.75">
      <c r="B97" s="2"/>
      <c r="C97" s="9" t="s">
        <v>90</v>
      </c>
      <c r="D97" s="29" t="s">
        <v>91</v>
      </c>
      <c r="E97" s="10">
        <f>'Ф1'!F97</f>
        <v>0</v>
      </c>
      <c r="F97" s="24">
        <v>0</v>
      </c>
      <c r="G97" s="3"/>
      <c r="O97" s="11"/>
      <c r="P97" s="11"/>
      <c r="Q97" s="11"/>
      <c r="R97" s="11"/>
      <c r="S97" s="11"/>
      <c r="T97" s="11"/>
    </row>
    <row r="98" spans="2:20" s="12" customFormat="1" ht="25.5">
      <c r="B98" s="2"/>
      <c r="C98" s="9" t="s">
        <v>92</v>
      </c>
      <c r="D98" s="29" t="s">
        <v>93</v>
      </c>
      <c r="E98" s="10">
        <f>'Ф1'!F98</f>
        <v>4</v>
      </c>
      <c r="F98" s="24">
        <v>5</v>
      </c>
      <c r="G98" s="3"/>
      <c r="O98" s="11"/>
      <c r="P98" s="11"/>
      <c r="Q98" s="11"/>
      <c r="R98" s="11"/>
      <c r="S98" s="11"/>
      <c r="T98" s="11"/>
    </row>
    <row r="99" spans="2:20" s="12" customFormat="1" ht="25.5">
      <c r="B99" s="2"/>
      <c r="C99" s="9" t="s">
        <v>94</v>
      </c>
      <c r="D99" s="29" t="s">
        <v>95</v>
      </c>
      <c r="E99" s="10">
        <f>'Ф1'!F99</f>
        <v>0</v>
      </c>
      <c r="F99" s="24">
        <v>0</v>
      </c>
      <c r="G99" s="3"/>
      <c r="O99" s="11"/>
      <c r="P99" s="11"/>
      <c r="Q99" s="11"/>
      <c r="R99" s="11"/>
      <c r="S99" s="11"/>
      <c r="T99" s="11"/>
    </row>
    <row r="100" spans="2:20" s="12" customFormat="1" ht="25.5">
      <c r="B100" s="2"/>
      <c r="C100" s="9" t="s">
        <v>96</v>
      </c>
      <c r="D100" s="29" t="s">
        <v>97</v>
      </c>
      <c r="E100" s="10">
        <f>'Ф1'!F100</f>
        <v>0</v>
      </c>
      <c r="F100" s="24">
        <v>0</v>
      </c>
      <c r="G100" s="3"/>
      <c r="O100" s="11"/>
      <c r="P100" s="11"/>
      <c r="Q100" s="11"/>
      <c r="R100" s="11"/>
      <c r="S100" s="11"/>
      <c r="T100" s="11"/>
    </row>
    <row r="101" spans="2:20" s="12" customFormat="1" ht="25.5">
      <c r="B101" s="2"/>
      <c r="C101" s="9" t="s">
        <v>98</v>
      </c>
      <c r="D101" s="29" t="s">
        <v>99</v>
      </c>
      <c r="E101" s="10">
        <f>'Ф1'!F101</f>
        <v>4</v>
      </c>
      <c r="F101" s="24">
        <v>5</v>
      </c>
      <c r="G101" s="3"/>
      <c r="O101" s="11"/>
      <c r="P101" s="11"/>
      <c r="Q101" s="11"/>
      <c r="R101" s="11"/>
      <c r="S101" s="11"/>
      <c r="T101" s="11"/>
    </row>
    <row r="102" spans="2:20" s="12" customFormat="1" ht="12.75">
      <c r="B102" s="2"/>
      <c r="C102" s="9" t="s">
        <v>100</v>
      </c>
      <c r="D102" s="29" t="s">
        <v>101</v>
      </c>
      <c r="E102" s="10">
        <f>'Ф1'!F102</f>
        <v>0</v>
      </c>
      <c r="F102" s="24">
        <v>0</v>
      </c>
      <c r="G102" s="3"/>
      <c r="O102" s="11"/>
      <c r="P102" s="11"/>
      <c r="Q102" s="11"/>
      <c r="R102" s="11"/>
      <c r="S102" s="11"/>
      <c r="T102" s="11"/>
    </row>
    <row r="103" spans="2:20" s="12" customFormat="1" ht="25.5">
      <c r="B103" s="2"/>
      <c r="C103" s="9" t="s">
        <v>102</v>
      </c>
      <c r="D103" s="29" t="s">
        <v>103</v>
      </c>
      <c r="E103" s="10">
        <f>'Ф1'!F103</f>
        <v>0</v>
      </c>
      <c r="F103" s="24">
        <v>0</v>
      </c>
      <c r="G103" s="3"/>
      <c r="O103" s="11"/>
      <c r="P103" s="11"/>
      <c r="Q103" s="11"/>
      <c r="R103" s="11"/>
      <c r="S103" s="11"/>
      <c r="T103" s="11"/>
    </row>
    <row r="104" spans="2:20" s="12" customFormat="1" ht="25.5">
      <c r="B104" s="2"/>
      <c r="C104" s="9" t="s">
        <v>104</v>
      </c>
      <c r="D104" s="29" t="s">
        <v>105</v>
      </c>
      <c r="E104" s="10">
        <f>'Ф1'!F104</f>
        <v>20</v>
      </c>
      <c r="F104" s="24">
        <v>25</v>
      </c>
      <c r="G104" s="3"/>
      <c r="O104" s="11"/>
      <c r="P104" s="11"/>
      <c r="Q104" s="11"/>
      <c r="R104" s="11"/>
      <c r="S104" s="11"/>
      <c r="T104" s="11"/>
    </row>
    <row r="105" spans="2:20" s="12" customFormat="1" ht="12.75">
      <c r="B105" s="2"/>
      <c r="C105" s="9" t="s">
        <v>106</v>
      </c>
      <c r="D105" s="29" t="s">
        <v>107</v>
      </c>
      <c r="E105" s="10">
        <f>'Ф1'!F105</f>
        <v>15</v>
      </c>
      <c r="F105" s="24">
        <v>18</v>
      </c>
      <c r="G105" s="3"/>
      <c r="O105" s="11"/>
      <c r="P105" s="11"/>
      <c r="Q105" s="11"/>
      <c r="R105" s="11"/>
      <c r="S105" s="11"/>
      <c r="T105" s="11"/>
    </row>
    <row r="106" spans="2:20" s="12" customFormat="1" ht="12.75">
      <c r="B106" s="2"/>
      <c r="C106" s="33"/>
      <c r="D106" s="33"/>
      <c r="E106" s="33"/>
      <c r="F106" s="33"/>
      <c r="G106" s="3"/>
      <c r="O106" s="11"/>
      <c r="P106" s="11"/>
      <c r="Q106" s="11"/>
      <c r="R106" s="11"/>
      <c r="S106" s="11"/>
      <c r="T106" s="11"/>
    </row>
    <row r="107" spans="2:7" ht="12" customHeight="1" thickBot="1">
      <c r="B107" s="4"/>
      <c r="C107" s="21"/>
      <c r="D107" s="21"/>
      <c r="E107" s="21"/>
      <c r="F107" s="21"/>
      <c r="G107" s="22"/>
    </row>
  </sheetData>
  <sheetProtection/>
  <mergeCells count="8">
    <mergeCell ref="C68:F68"/>
    <mergeCell ref="C72:F72"/>
    <mergeCell ref="C3:F3"/>
    <mergeCell ref="C7:F7"/>
    <mergeCell ref="C8:F8"/>
    <mergeCell ref="C25:F25"/>
    <mergeCell ref="C56:F56"/>
    <mergeCell ref="C57:F57"/>
  </mergeCells>
  <printOptions/>
  <pageMargins left="0.7" right="0.7" top="0.75" bottom="0.75" header="0.3" footer="0.3"/>
  <pageSetup horizontalDpi="300" verticalDpi="300" orientation="portrait" paperSize="9" scale="93" r:id="rId1"/>
  <headerFooter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55" min="1" max="6" man="1"/>
    <brk id="89" min="1" max="6" man="1"/>
  </rowBreaks>
  <colBreaks count="1" manualBreakCount="1">
    <brk id="7" min="1" max="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AL43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4.25390625" style="1" bestFit="1" customWidth="1"/>
    <col min="2" max="2" width="3.25390625" style="1" customWidth="1"/>
    <col min="3" max="3" width="42.00390625" style="13" customWidth="1"/>
    <col min="4" max="4" width="13.00390625" style="14" bestFit="1" customWidth="1"/>
    <col min="5" max="6" width="15.625" style="14" customWidth="1"/>
    <col min="7" max="7" width="3.00390625" style="1" customWidth="1"/>
    <col min="8" max="8" width="2.75390625" style="1" customWidth="1"/>
    <col min="9" max="9" width="6.625" style="1" bestFit="1" customWidth="1"/>
    <col min="10" max="11" width="2.75390625" style="1" customWidth="1"/>
    <col min="12" max="16" width="3.25390625" style="1" bestFit="1" customWidth="1"/>
    <col min="17" max="17" width="4.75390625" style="1" bestFit="1" customWidth="1"/>
    <col min="18" max="16384" width="2.75390625" style="1" customWidth="1"/>
  </cols>
  <sheetData>
    <row r="1" spans="2:10" ht="15" customHeight="1" thickBot="1">
      <c r="B1" s="5" t="s">
        <v>0</v>
      </c>
      <c r="C1" s="5"/>
      <c r="D1" s="5"/>
      <c r="E1" s="5"/>
      <c r="F1" s="5"/>
      <c r="G1" s="5"/>
      <c r="H1" s="5"/>
      <c r="I1" s="5"/>
      <c r="J1" s="5"/>
    </row>
    <row r="2" spans="2:35" ht="11.25" customHeight="1">
      <c r="B2" s="15"/>
      <c r="C2" s="16"/>
      <c r="D2" s="16"/>
      <c r="E2" s="16"/>
      <c r="F2" s="16"/>
      <c r="G2" s="17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2:35" ht="18">
      <c r="B3" s="18"/>
      <c r="C3" s="53" t="s">
        <v>108</v>
      </c>
      <c r="D3" s="53"/>
      <c r="E3" s="53"/>
      <c r="F3" s="53"/>
      <c r="G3" s="19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2:38" ht="24.75" customHeight="1">
      <c r="B4" s="18"/>
      <c r="C4" s="43" t="s">
        <v>214</v>
      </c>
      <c r="D4" s="45">
        <f>YEAR(('Ф1'!D4-1)+366)</f>
        <v>2012</v>
      </c>
      <c r="E4" s="46" t="s">
        <v>280</v>
      </c>
      <c r="F4" s="42"/>
      <c r="G4" s="19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2:35" ht="12.75" customHeight="1">
      <c r="B5" s="18"/>
      <c r="C5" s="7"/>
      <c r="D5" s="7"/>
      <c r="E5" s="7"/>
      <c r="F5" s="28" t="str">
        <f>'Ф1-прогноз'!F5</f>
        <v>(млн.руб)</v>
      </c>
      <c r="G5" s="19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2:35" ht="33.75">
      <c r="B6" s="20"/>
      <c r="C6" s="26" t="s">
        <v>2</v>
      </c>
      <c r="D6" s="25" t="s">
        <v>3</v>
      </c>
      <c r="E6" s="27" t="s">
        <v>205</v>
      </c>
      <c r="F6" s="25" t="s">
        <v>206</v>
      </c>
      <c r="G6" s="19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2:17" s="12" customFormat="1" ht="12.75">
      <c r="B7" s="2"/>
      <c r="C7" s="54" t="s">
        <v>109</v>
      </c>
      <c r="D7" s="55"/>
      <c r="E7" s="55"/>
      <c r="F7" s="56"/>
      <c r="G7" s="3"/>
      <c r="L7" s="11"/>
      <c r="M7" s="11"/>
      <c r="N7" s="11"/>
      <c r="O7" s="11"/>
      <c r="P7" s="11"/>
      <c r="Q7" s="11"/>
    </row>
    <row r="8" spans="2:17" s="12" customFormat="1" ht="25.5">
      <c r="B8" s="2"/>
      <c r="C8" s="9" t="s">
        <v>110</v>
      </c>
      <c r="D8" s="30" t="s">
        <v>99</v>
      </c>
      <c r="E8" s="10">
        <f>F8*('Прогноз осн.пок-лей'!D7+1)</f>
        <v>1092500</v>
      </c>
      <c r="F8" s="10">
        <f>'Ф2'!E8</f>
        <v>950000</v>
      </c>
      <c r="G8" s="3"/>
      <c r="L8" s="11"/>
      <c r="M8" s="11"/>
      <c r="N8" s="11"/>
      <c r="O8" s="11"/>
      <c r="P8" s="11"/>
      <c r="Q8" s="11"/>
    </row>
    <row r="9" spans="2:17" s="12" customFormat="1" ht="25.5">
      <c r="B9" s="2"/>
      <c r="C9" s="9" t="s">
        <v>111</v>
      </c>
      <c r="D9" s="30" t="s">
        <v>101</v>
      </c>
      <c r="E9" s="10">
        <f>E8*'Прогноз осн.пок-лей'!D9</f>
        <v>218500</v>
      </c>
      <c r="F9" s="10">
        <f>'Ф2'!E9</f>
        <v>184500</v>
      </c>
      <c r="G9" s="3"/>
      <c r="L9" s="11"/>
      <c r="M9" s="11"/>
      <c r="N9" s="11"/>
      <c r="O9" s="11"/>
      <c r="P9" s="11"/>
      <c r="Q9" s="11"/>
    </row>
    <row r="10" spans="2:17" s="12" customFormat="1" ht="38.25">
      <c r="B10" s="2"/>
      <c r="C10" s="9" t="s">
        <v>387</v>
      </c>
      <c r="D10" s="30" t="s">
        <v>112</v>
      </c>
      <c r="E10" s="10">
        <f>E8-E9</f>
        <v>874000</v>
      </c>
      <c r="F10" s="10">
        <f>F8-F9</f>
        <v>765500</v>
      </c>
      <c r="G10" s="3"/>
      <c r="L10" s="11"/>
      <c r="M10" s="11"/>
      <c r="N10" s="11"/>
      <c r="O10" s="11"/>
      <c r="P10" s="11"/>
      <c r="Q10" s="11"/>
    </row>
    <row r="11" spans="2:17" s="12" customFormat="1" ht="25.5">
      <c r="B11" s="2"/>
      <c r="C11" s="9" t="s">
        <v>113</v>
      </c>
      <c r="D11" s="30" t="s">
        <v>114</v>
      </c>
      <c r="E11" s="10">
        <f>E10-E12</f>
        <v>473467.0934030046</v>
      </c>
      <c r="F11" s="10">
        <f>'Ф2'!E11</f>
        <v>430000</v>
      </c>
      <c r="G11" s="3"/>
      <c r="L11" s="11"/>
      <c r="M11" s="11"/>
      <c r="N11" s="11"/>
      <c r="O11" s="11"/>
      <c r="P11" s="11"/>
      <c r="Q11" s="11"/>
    </row>
    <row r="12" spans="2:17" s="12" customFormat="1" ht="12.75">
      <c r="B12" s="2"/>
      <c r="C12" s="9" t="s">
        <v>115</v>
      </c>
      <c r="D12" s="30" t="s">
        <v>116</v>
      </c>
      <c r="E12" s="10">
        <f>(F12/F10+'Прогноз осн.пок-лей'!D10)*'Ф2-прогноз'!E10</f>
        <v>400532.9065969954</v>
      </c>
      <c r="F12" s="10">
        <f>F10-F11</f>
        <v>335500</v>
      </c>
      <c r="G12" s="3"/>
      <c r="L12" s="11"/>
      <c r="M12" s="11"/>
      <c r="N12" s="11"/>
      <c r="O12" s="11"/>
      <c r="P12" s="11"/>
      <c r="Q12" s="11"/>
    </row>
    <row r="13" spans="2:17" s="12" customFormat="1" ht="12.75">
      <c r="B13" s="2"/>
      <c r="C13" s="9" t="s">
        <v>117</v>
      </c>
      <c r="D13" s="30" t="s">
        <v>118</v>
      </c>
      <c r="E13" s="24">
        <v>0</v>
      </c>
      <c r="F13" s="10">
        <f>'Ф2'!E13</f>
        <v>107000</v>
      </c>
      <c r="G13" s="3"/>
      <c r="L13" s="11"/>
      <c r="M13" s="11"/>
      <c r="N13" s="11"/>
      <c r="O13" s="11"/>
      <c r="P13" s="11"/>
      <c r="Q13" s="11"/>
    </row>
    <row r="14" spans="2:17" s="12" customFormat="1" ht="12.75">
      <c r="B14" s="2"/>
      <c r="C14" s="9" t="s">
        <v>119</v>
      </c>
      <c r="D14" s="30" t="s">
        <v>120</v>
      </c>
      <c r="E14" s="10">
        <f>(F14/F10+'Прогноз осн.пок-лей'!D11)*'Ф2-прогноз'!E10</f>
        <v>118740.692357936</v>
      </c>
      <c r="F14" s="10">
        <f>'Ф2'!E14</f>
        <v>104000</v>
      </c>
      <c r="G14" s="3"/>
      <c r="L14" s="11"/>
      <c r="M14" s="11"/>
      <c r="N14" s="11"/>
      <c r="O14" s="11"/>
      <c r="P14" s="11"/>
      <c r="Q14" s="11"/>
    </row>
    <row r="15" spans="2:17" s="12" customFormat="1" ht="12.75">
      <c r="B15" s="2"/>
      <c r="C15" s="9" t="s">
        <v>121</v>
      </c>
      <c r="D15" s="30" t="s">
        <v>122</v>
      </c>
      <c r="E15" s="10">
        <f>E12-E13-E14</f>
        <v>281792.2142390594</v>
      </c>
      <c r="F15" s="10">
        <f>F12-F13-F14</f>
        <v>124500</v>
      </c>
      <c r="G15" s="3"/>
      <c r="L15" s="11"/>
      <c r="M15" s="11"/>
      <c r="N15" s="11"/>
      <c r="O15" s="11"/>
      <c r="P15" s="11"/>
      <c r="Q15" s="11"/>
    </row>
    <row r="16" spans="2:17" s="12" customFormat="1" ht="12.75">
      <c r="B16" s="2"/>
      <c r="C16" s="54" t="s">
        <v>123</v>
      </c>
      <c r="D16" s="55"/>
      <c r="E16" s="55"/>
      <c r="F16" s="56"/>
      <c r="G16" s="3"/>
      <c r="L16" s="11"/>
      <c r="M16" s="11"/>
      <c r="N16" s="11"/>
      <c r="O16" s="11"/>
      <c r="P16" s="11"/>
      <c r="Q16" s="11"/>
    </row>
    <row r="17" spans="2:17" s="12" customFormat="1" ht="12.75">
      <c r="B17" s="2"/>
      <c r="C17" s="9" t="s">
        <v>124</v>
      </c>
      <c r="D17" s="30" t="s">
        <v>125</v>
      </c>
      <c r="E17" s="24">
        <v>58000</v>
      </c>
      <c r="F17" s="10">
        <f>'Ф2'!E17</f>
        <v>54000</v>
      </c>
      <c r="G17" s="3"/>
      <c r="L17" s="11"/>
      <c r="M17" s="11"/>
      <c r="N17" s="11"/>
      <c r="O17" s="11"/>
      <c r="P17" s="11"/>
      <c r="Q17" s="11"/>
    </row>
    <row r="18" spans="2:17" s="12" customFormat="1" ht="25.5">
      <c r="B18" s="2"/>
      <c r="C18" s="9" t="s">
        <v>126</v>
      </c>
      <c r="D18" s="30" t="s">
        <v>127</v>
      </c>
      <c r="E18" s="24">
        <v>1500</v>
      </c>
      <c r="F18" s="10">
        <f>'Ф2'!E18</f>
        <v>1200</v>
      </c>
      <c r="G18" s="3"/>
      <c r="L18" s="11"/>
      <c r="M18" s="11"/>
      <c r="N18" s="11"/>
      <c r="O18" s="11"/>
      <c r="P18" s="11"/>
      <c r="Q18" s="11"/>
    </row>
    <row r="19" spans="2:17" s="12" customFormat="1" ht="38.25">
      <c r="B19" s="2"/>
      <c r="C19" s="9" t="s">
        <v>166</v>
      </c>
      <c r="D19" s="30" t="s">
        <v>128</v>
      </c>
      <c r="E19" s="10">
        <f>E17-E18</f>
        <v>56500</v>
      </c>
      <c r="F19" s="10">
        <f>F17-F18</f>
        <v>52800</v>
      </c>
      <c r="G19" s="3"/>
      <c r="L19" s="11"/>
      <c r="M19" s="11"/>
      <c r="N19" s="11"/>
      <c r="O19" s="11"/>
      <c r="P19" s="11"/>
      <c r="Q19" s="11"/>
    </row>
    <row r="20" spans="2:17" s="12" customFormat="1" ht="12.75">
      <c r="B20" s="2"/>
      <c r="C20" s="23" t="s">
        <v>167</v>
      </c>
      <c r="D20" s="30" t="s">
        <v>129</v>
      </c>
      <c r="E20" s="24">
        <v>0</v>
      </c>
      <c r="F20" s="10">
        <f>'Ф2'!E20</f>
        <v>0</v>
      </c>
      <c r="G20" s="3"/>
      <c r="L20" s="11"/>
      <c r="M20" s="11"/>
      <c r="N20" s="11"/>
      <c r="O20" s="11"/>
      <c r="P20" s="11"/>
      <c r="Q20" s="11"/>
    </row>
    <row r="21" spans="2:17" s="12" customFormat="1" ht="25.5">
      <c r="B21" s="2"/>
      <c r="C21" s="23" t="s">
        <v>168</v>
      </c>
      <c r="D21" s="30" t="s">
        <v>130</v>
      </c>
      <c r="E21" s="24">
        <v>0</v>
      </c>
      <c r="F21" s="10">
        <f>'Ф2'!E21</f>
        <v>0</v>
      </c>
      <c r="G21" s="3"/>
      <c r="L21" s="11"/>
      <c r="M21" s="11"/>
      <c r="N21" s="11"/>
      <c r="O21" s="11"/>
      <c r="P21" s="11"/>
      <c r="Q21" s="11"/>
    </row>
    <row r="22" spans="2:17" s="12" customFormat="1" ht="12.75">
      <c r="B22" s="2"/>
      <c r="C22" s="23" t="s">
        <v>169</v>
      </c>
      <c r="D22" s="30" t="s">
        <v>131</v>
      </c>
      <c r="E22" s="24">
        <v>24000</v>
      </c>
      <c r="F22" s="10">
        <f>'Ф2'!E22</f>
        <v>21000</v>
      </c>
      <c r="G22" s="3"/>
      <c r="L22" s="11"/>
      <c r="M22" s="11"/>
      <c r="N22" s="11"/>
      <c r="O22" s="11"/>
      <c r="P22" s="11"/>
      <c r="Q22" s="11"/>
    </row>
    <row r="23" spans="2:17" s="12" customFormat="1" ht="12.75">
      <c r="B23" s="2"/>
      <c r="C23" s="23" t="s">
        <v>170</v>
      </c>
      <c r="D23" s="30" t="s">
        <v>132</v>
      </c>
      <c r="E23" s="24">
        <v>8500</v>
      </c>
      <c r="F23" s="10">
        <f>'Ф2'!E23</f>
        <v>8400</v>
      </c>
      <c r="G23" s="3"/>
      <c r="L23" s="11"/>
      <c r="M23" s="11"/>
      <c r="N23" s="11"/>
      <c r="O23" s="11"/>
      <c r="P23" s="11"/>
      <c r="Q23" s="11"/>
    </row>
    <row r="24" spans="2:17" s="12" customFormat="1" ht="12.75">
      <c r="B24" s="2"/>
      <c r="C24" s="9" t="s">
        <v>171</v>
      </c>
      <c r="D24" s="30" t="s">
        <v>133</v>
      </c>
      <c r="E24" s="10">
        <f>SUM(E25:E27)</f>
        <v>30500</v>
      </c>
      <c r="F24" s="10">
        <f>SUM(F25:F27)</f>
        <v>29200</v>
      </c>
      <c r="G24" s="3"/>
      <c r="L24" s="11"/>
      <c r="M24" s="11"/>
      <c r="N24" s="11"/>
      <c r="O24" s="11"/>
      <c r="P24" s="11"/>
      <c r="Q24" s="11"/>
    </row>
    <row r="25" spans="2:17" s="12" customFormat="1" ht="12.75">
      <c r="B25" s="2"/>
      <c r="C25" s="23" t="s">
        <v>172</v>
      </c>
      <c r="D25" s="30" t="s">
        <v>134</v>
      </c>
      <c r="E25" s="24">
        <v>0</v>
      </c>
      <c r="F25" s="10">
        <f>'Ф2'!E25</f>
        <v>0</v>
      </c>
      <c r="G25" s="3"/>
      <c r="L25" s="11"/>
      <c r="M25" s="11"/>
      <c r="N25" s="11"/>
      <c r="O25" s="11"/>
      <c r="P25" s="11"/>
      <c r="Q25" s="11"/>
    </row>
    <row r="26" spans="2:17" s="12" customFormat="1" ht="12.75">
      <c r="B26" s="2"/>
      <c r="C26" s="23" t="s">
        <v>173</v>
      </c>
      <c r="D26" s="30" t="s">
        <v>135</v>
      </c>
      <c r="E26" s="24">
        <v>1500</v>
      </c>
      <c r="F26" s="10">
        <f>'Ф2'!E26</f>
        <v>1200</v>
      </c>
      <c r="G26" s="3"/>
      <c r="L26" s="11"/>
      <c r="M26" s="11"/>
      <c r="N26" s="11"/>
      <c r="O26" s="11"/>
      <c r="P26" s="11"/>
      <c r="Q26" s="11"/>
    </row>
    <row r="27" spans="2:17" s="12" customFormat="1" ht="12.75">
      <c r="B27" s="2"/>
      <c r="C27" s="23" t="s">
        <v>174</v>
      </c>
      <c r="D27" s="30" t="s">
        <v>136</v>
      </c>
      <c r="E27" s="24">
        <v>29000</v>
      </c>
      <c r="F27" s="10">
        <f>'Ф2'!E27</f>
        <v>28000</v>
      </c>
      <c r="G27" s="3"/>
      <c r="L27" s="11"/>
      <c r="M27" s="11"/>
      <c r="N27" s="11"/>
      <c r="O27" s="11"/>
      <c r="P27" s="11"/>
      <c r="Q27" s="11"/>
    </row>
    <row r="28" spans="2:17" s="12" customFormat="1" ht="25.5">
      <c r="B28" s="2"/>
      <c r="C28" s="9" t="s">
        <v>137</v>
      </c>
      <c r="D28" s="30" t="s">
        <v>138</v>
      </c>
      <c r="E28" s="10">
        <f>E19-E24</f>
        <v>26000</v>
      </c>
      <c r="F28" s="10">
        <f>F19-F24</f>
        <v>23600</v>
      </c>
      <c r="G28" s="3"/>
      <c r="L28" s="11"/>
      <c r="M28" s="11"/>
      <c r="N28" s="11"/>
      <c r="O28" s="11"/>
      <c r="P28" s="11"/>
      <c r="Q28" s="11"/>
    </row>
    <row r="29" spans="2:17" s="12" customFormat="1" ht="12.75">
      <c r="B29" s="2"/>
      <c r="C29" s="54" t="s">
        <v>139</v>
      </c>
      <c r="D29" s="55"/>
      <c r="E29" s="55"/>
      <c r="F29" s="56"/>
      <c r="G29" s="3"/>
      <c r="L29" s="11"/>
      <c r="M29" s="11"/>
      <c r="N29" s="11"/>
      <c r="O29" s="11"/>
      <c r="P29" s="11"/>
      <c r="Q29" s="11"/>
    </row>
    <row r="30" spans="2:17" s="12" customFormat="1" ht="12.75">
      <c r="B30" s="2"/>
      <c r="C30" s="9" t="s">
        <v>140</v>
      </c>
      <c r="D30" s="30" t="s">
        <v>141</v>
      </c>
      <c r="E30" s="10">
        <f>F30</f>
        <v>1200</v>
      </c>
      <c r="F30" s="10">
        <f>'Ф2'!E30</f>
        <v>1200</v>
      </c>
      <c r="G30" s="3"/>
      <c r="L30" s="11"/>
      <c r="M30" s="11"/>
      <c r="N30" s="11"/>
      <c r="O30" s="11"/>
      <c r="P30" s="11"/>
      <c r="Q30" s="11"/>
    </row>
    <row r="31" spans="2:17" s="12" customFormat="1" ht="25.5">
      <c r="B31" s="2"/>
      <c r="C31" s="9" t="s">
        <v>142</v>
      </c>
      <c r="D31" s="30" t="s">
        <v>143</v>
      </c>
      <c r="E31" s="24">
        <v>400</v>
      </c>
      <c r="F31" s="10">
        <f>'Ф2'!E31</f>
        <v>350</v>
      </c>
      <c r="G31" s="3"/>
      <c r="L31" s="11"/>
      <c r="M31" s="11"/>
      <c r="N31" s="11"/>
      <c r="O31" s="11"/>
      <c r="P31" s="11"/>
      <c r="Q31" s="11"/>
    </row>
    <row r="32" spans="2:17" s="12" customFormat="1" ht="38.25">
      <c r="B32" s="2"/>
      <c r="C32" s="9" t="s">
        <v>144</v>
      </c>
      <c r="D32" s="30" t="s">
        <v>145</v>
      </c>
      <c r="E32" s="10">
        <f>E30-E31</f>
        <v>800</v>
      </c>
      <c r="F32" s="10">
        <f>F30-F31</f>
        <v>850</v>
      </c>
      <c r="G32" s="3"/>
      <c r="L32" s="11"/>
      <c r="M32" s="11"/>
      <c r="N32" s="11"/>
      <c r="O32" s="11"/>
      <c r="P32" s="11"/>
      <c r="Q32" s="11"/>
    </row>
    <row r="33" spans="2:17" s="12" customFormat="1" ht="12.75">
      <c r="B33" s="2"/>
      <c r="C33" s="9" t="s">
        <v>146</v>
      </c>
      <c r="D33" s="30" t="s">
        <v>147</v>
      </c>
      <c r="E33" s="10">
        <f>F33</f>
        <v>4150</v>
      </c>
      <c r="F33" s="10">
        <f>'Ф2'!E33</f>
        <v>4150</v>
      </c>
      <c r="G33" s="3"/>
      <c r="L33" s="11"/>
      <c r="M33" s="11"/>
      <c r="N33" s="11"/>
      <c r="O33" s="11"/>
      <c r="P33" s="11"/>
      <c r="Q33" s="11"/>
    </row>
    <row r="34" spans="2:17" s="12" customFormat="1" ht="25.5">
      <c r="B34" s="2"/>
      <c r="C34" s="9" t="s">
        <v>148</v>
      </c>
      <c r="D34" s="30" t="s">
        <v>149</v>
      </c>
      <c r="E34" s="10">
        <f>E32-E33</f>
        <v>-3350</v>
      </c>
      <c r="F34" s="10">
        <f>F32-F33</f>
        <v>-3300</v>
      </c>
      <c r="G34" s="3"/>
      <c r="L34" s="11"/>
      <c r="M34" s="11"/>
      <c r="N34" s="11"/>
      <c r="O34" s="11"/>
      <c r="P34" s="11"/>
      <c r="Q34" s="11"/>
    </row>
    <row r="35" spans="2:17" s="12" customFormat="1" ht="12.75">
      <c r="B35" s="2"/>
      <c r="C35" s="9" t="s">
        <v>150</v>
      </c>
      <c r="D35" s="30" t="s">
        <v>151</v>
      </c>
      <c r="E35" s="10">
        <f>E15+E28+E34</f>
        <v>304442.2142390594</v>
      </c>
      <c r="F35" s="10">
        <f>F15+F28+F34</f>
        <v>144800</v>
      </c>
      <c r="G35" s="3"/>
      <c r="L35" s="11"/>
      <c r="M35" s="11"/>
      <c r="N35" s="11"/>
      <c r="O35" s="11"/>
      <c r="P35" s="11"/>
      <c r="Q35" s="11"/>
    </row>
    <row r="36" spans="2:17" s="12" customFormat="1" ht="25.5">
      <c r="B36" s="2"/>
      <c r="C36" s="9" t="s">
        <v>152</v>
      </c>
      <c r="D36" s="30" t="s">
        <v>153</v>
      </c>
      <c r="E36" s="24">
        <v>0</v>
      </c>
      <c r="F36" s="10">
        <f>'Ф2'!E36</f>
        <v>0</v>
      </c>
      <c r="G36" s="3"/>
      <c r="L36" s="11"/>
      <c r="M36" s="11"/>
      <c r="N36" s="11"/>
      <c r="O36" s="11"/>
      <c r="P36" s="11"/>
      <c r="Q36" s="11"/>
    </row>
    <row r="37" spans="2:17" s="12" customFormat="1" ht="15.75" customHeight="1">
      <c r="B37" s="2"/>
      <c r="C37" s="9" t="s">
        <v>154</v>
      </c>
      <c r="D37" s="30" t="s">
        <v>155</v>
      </c>
      <c r="E37" s="24">
        <v>0</v>
      </c>
      <c r="F37" s="10">
        <f>'Ф2'!E37</f>
        <v>0</v>
      </c>
      <c r="G37" s="3"/>
      <c r="L37" s="11"/>
      <c r="M37" s="11"/>
      <c r="N37" s="11"/>
      <c r="O37" s="11"/>
      <c r="P37" s="11"/>
      <c r="Q37" s="11"/>
    </row>
    <row r="38" spans="2:17" s="12" customFormat="1" ht="12.75">
      <c r="B38" s="2"/>
      <c r="C38" s="9" t="s">
        <v>156</v>
      </c>
      <c r="D38" s="30" t="s">
        <v>157</v>
      </c>
      <c r="E38" s="10">
        <f>E35+E36-E37</f>
        <v>304442.2142390594</v>
      </c>
      <c r="F38" s="10">
        <f>F35+F36-F37</f>
        <v>144800</v>
      </c>
      <c r="G38" s="3"/>
      <c r="L38" s="11"/>
      <c r="M38" s="11"/>
      <c r="N38" s="11"/>
      <c r="O38" s="11"/>
      <c r="P38" s="11"/>
      <c r="Q38" s="11"/>
    </row>
    <row r="39" spans="1:17" s="12" customFormat="1" ht="21" customHeight="1">
      <c r="A39" s="50">
        <v>0.24</v>
      </c>
      <c r="B39" s="2"/>
      <c r="C39" s="9" t="s">
        <v>158</v>
      </c>
      <c r="D39" s="30" t="s">
        <v>159</v>
      </c>
      <c r="E39" s="10">
        <f>(E38-E36-E37)*A39</f>
        <v>73066.13141737426</v>
      </c>
      <c r="F39" s="10">
        <f>'Ф2'!E39</f>
        <v>15980</v>
      </c>
      <c r="G39" s="3"/>
      <c r="L39" s="11"/>
      <c r="M39" s="11"/>
      <c r="N39" s="11"/>
      <c r="O39" s="11"/>
      <c r="P39" s="11"/>
      <c r="Q39" s="11"/>
    </row>
    <row r="40" spans="2:17" s="12" customFormat="1" ht="12.75">
      <c r="B40" s="2"/>
      <c r="C40" s="9" t="s">
        <v>160</v>
      </c>
      <c r="D40" s="30" t="s">
        <v>161</v>
      </c>
      <c r="E40" s="24">
        <v>15000</v>
      </c>
      <c r="F40" s="10">
        <f>'Ф2'!E40</f>
        <v>13874</v>
      </c>
      <c r="G40" s="3"/>
      <c r="L40" s="11"/>
      <c r="M40" s="11"/>
      <c r="N40" s="11"/>
      <c r="O40" s="11"/>
      <c r="P40" s="11"/>
      <c r="Q40" s="11"/>
    </row>
    <row r="41" spans="2:17" s="12" customFormat="1" ht="12.75">
      <c r="B41" s="2"/>
      <c r="C41" s="9" t="s">
        <v>162</v>
      </c>
      <c r="D41" s="30" t="s">
        <v>163</v>
      </c>
      <c r="E41" s="24">
        <v>0</v>
      </c>
      <c r="F41" s="10">
        <f>'Ф2'!E41</f>
        <v>0</v>
      </c>
      <c r="G41" s="3"/>
      <c r="L41" s="11"/>
      <c r="M41" s="11"/>
      <c r="N41" s="11"/>
      <c r="O41" s="11"/>
      <c r="P41" s="11"/>
      <c r="Q41" s="11"/>
    </row>
    <row r="42" spans="2:17" s="12" customFormat="1" ht="12.75">
      <c r="B42" s="2"/>
      <c r="C42" s="9" t="s">
        <v>164</v>
      </c>
      <c r="D42" s="30" t="s">
        <v>165</v>
      </c>
      <c r="E42" s="10">
        <f>E38-E39-E40-E41</f>
        <v>216376.08282168518</v>
      </c>
      <c r="F42" s="10">
        <f>F38-F39-F40-F41</f>
        <v>114946</v>
      </c>
      <c r="G42" s="3"/>
      <c r="L42" s="11"/>
      <c r="M42" s="11"/>
      <c r="N42" s="11"/>
      <c r="O42" s="11"/>
      <c r="P42" s="11"/>
      <c r="Q42" s="11"/>
    </row>
    <row r="43" spans="2:7" ht="12" customHeight="1" thickBot="1">
      <c r="B43" s="4"/>
      <c r="C43" s="21"/>
      <c r="D43" s="21"/>
      <c r="E43" s="21"/>
      <c r="F43" s="21"/>
      <c r="G43" s="22"/>
    </row>
  </sheetData>
  <sheetProtection/>
  <mergeCells count="4">
    <mergeCell ref="C3:F3"/>
    <mergeCell ref="C7:F7"/>
    <mergeCell ref="C16:F16"/>
    <mergeCell ref="C29:F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6" r:id="rId3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7" min="1" max="20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B1:AL56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4.375" style="1" customWidth="1"/>
    <col min="2" max="2" width="3.25390625" style="1" customWidth="1"/>
    <col min="3" max="3" width="6.375" style="13" bestFit="1" customWidth="1"/>
    <col min="4" max="4" width="56.75390625" style="13" customWidth="1"/>
    <col min="5" max="6" width="16.625" style="14" customWidth="1"/>
    <col min="7" max="7" width="3.00390625" style="1" customWidth="1"/>
    <col min="8" max="8" width="8.00390625" style="1" bestFit="1" customWidth="1"/>
    <col min="9" max="9" width="2.75390625" style="1" customWidth="1"/>
    <col min="10" max="10" width="6.625" style="1" bestFit="1" customWidth="1"/>
    <col min="11" max="11" width="2.75390625" style="1" customWidth="1"/>
    <col min="12" max="12" width="6.625" style="1" bestFit="1" customWidth="1"/>
    <col min="13" max="14" width="2.75390625" style="1" customWidth="1"/>
    <col min="15" max="19" width="3.25390625" style="1" bestFit="1" customWidth="1"/>
    <col min="20" max="20" width="4.75390625" style="1" bestFit="1" customWidth="1"/>
    <col min="21" max="16384" width="2.75390625" style="1" customWidth="1"/>
  </cols>
  <sheetData>
    <row r="1" spans="2:13" ht="15" customHeight="1" thickBot="1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38" ht="11.25" customHeight="1">
      <c r="B2" s="15"/>
      <c r="C2" s="16"/>
      <c r="D2" s="16"/>
      <c r="E2" s="16"/>
      <c r="F2" s="16"/>
      <c r="G2" s="17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2:38" ht="18" customHeight="1">
      <c r="B3" s="18"/>
      <c r="C3" s="53" t="s">
        <v>216</v>
      </c>
      <c r="D3" s="53"/>
      <c r="E3" s="53"/>
      <c r="F3" s="53"/>
      <c r="G3" s="19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2:38" ht="12.75" customHeight="1">
      <c r="B4" s="18"/>
      <c r="C4" s="7"/>
      <c r="D4" s="7"/>
      <c r="E4" s="7"/>
      <c r="F4" s="28" t="str">
        <f>'Ф1-прогноз'!F5</f>
        <v>(млн.руб)</v>
      </c>
      <c r="G4" s="19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2:38" ht="14.25">
      <c r="B5" s="20"/>
      <c r="C5" s="60" t="s">
        <v>296</v>
      </c>
      <c r="D5" s="60" t="s">
        <v>178</v>
      </c>
      <c r="E5" s="62" t="s">
        <v>217</v>
      </c>
      <c r="F5" s="63"/>
      <c r="G5" s="19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2:38" ht="14.25">
      <c r="B6" s="20"/>
      <c r="C6" s="60"/>
      <c r="D6" s="60"/>
      <c r="E6" s="47">
        <f>'Ф2'!D4</f>
        <v>2010</v>
      </c>
      <c r="F6" s="48">
        <f>E6+1</f>
        <v>2011</v>
      </c>
      <c r="G6" s="19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2:20" s="12" customFormat="1" ht="12.75">
      <c r="B7" s="2"/>
      <c r="C7" s="61" t="s">
        <v>375</v>
      </c>
      <c r="D7" s="61"/>
      <c r="E7" s="61"/>
      <c r="F7" s="61"/>
      <c r="G7" s="3"/>
      <c r="O7" s="11"/>
      <c r="P7" s="11"/>
      <c r="Q7" s="11"/>
      <c r="R7" s="11"/>
      <c r="S7" s="11"/>
      <c r="T7" s="11"/>
    </row>
    <row r="8" spans="2:20" s="12" customFormat="1" ht="12.75">
      <c r="B8" s="2"/>
      <c r="C8" s="41" t="s">
        <v>179</v>
      </c>
      <c r="D8" s="9" t="s">
        <v>218</v>
      </c>
      <c r="E8" s="39">
        <f>E9*E10</f>
        <v>58000</v>
      </c>
      <c r="F8" s="39">
        <f>F9*F10</f>
        <v>66220.7707380797</v>
      </c>
      <c r="G8" s="3"/>
      <c r="O8" s="11"/>
      <c r="P8" s="11"/>
      <c r="Q8" s="11"/>
      <c r="R8" s="11"/>
      <c r="S8" s="11"/>
      <c r="T8" s="11"/>
    </row>
    <row r="9" spans="2:20" s="12" customFormat="1" ht="12.75">
      <c r="B9" s="2"/>
      <c r="C9" s="41" t="s">
        <v>351</v>
      </c>
      <c r="D9" s="23" t="s">
        <v>238</v>
      </c>
      <c r="E9" s="39">
        <f>'Ф1'!F27/'Расчет ЧОП'!E10</f>
        <v>2509.6153846153848</v>
      </c>
      <c r="F9" s="39">
        <f>'Ф1-прогноз'!F27/'Расчет ЧОП'!E10</f>
        <v>2509.6153846153848</v>
      </c>
      <c r="G9" s="3"/>
      <c r="O9" s="11"/>
      <c r="P9" s="11"/>
      <c r="Q9" s="11"/>
      <c r="R9" s="11"/>
      <c r="S9" s="11"/>
      <c r="T9" s="11"/>
    </row>
    <row r="10" spans="2:20" s="12" customFormat="1" ht="25.5">
      <c r="B10" s="2"/>
      <c r="C10" s="41" t="s">
        <v>180</v>
      </c>
      <c r="D10" s="23" t="s">
        <v>239</v>
      </c>
      <c r="E10" s="39">
        <f>'Ф2'!E14*'Прогноз осн.пок-лей'!D14/'Прогноз осн.пок-лей'!D12</f>
        <v>23.11111111111111</v>
      </c>
      <c r="F10" s="39">
        <f>'Ф2-прогноз'!E14*'Прогноз осн.пок-лей'!D14/'Прогноз осн.пок-лей'!D12</f>
        <v>26.386820523985776</v>
      </c>
      <c r="G10" s="3"/>
      <c r="O10" s="11"/>
      <c r="P10" s="11"/>
      <c r="Q10" s="11"/>
      <c r="R10" s="11"/>
      <c r="S10" s="11"/>
      <c r="T10" s="11"/>
    </row>
    <row r="11" spans="2:20" s="12" customFormat="1" ht="12.75">
      <c r="B11" s="2"/>
      <c r="C11" s="41" t="s">
        <v>186</v>
      </c>
      <c r="D11" s="9" t="s">
        <v>219</v>
      </c>
      <c r="E11" s="40">
        <v>0</v>
      </c>
      <c r="F11" s="40">
        <v>0</v>
      </c>
      <c r="G11" s="3"/>
      <c r="O11" s="11"/>
      <c r="P11" s="11"/>
      <c r="Q11" s="11"/>
      <c r="R11" s="11"/>
      <c r="S11" s="11"/>
      <c r="T11" s="11"/>
    </row>
    <row r="12" spans="2:20" s="12" customFormat="1" ht="12.75">
      <c r="B12" s="2"/>
      <c r="C12" s="41" t="s">
        <v>183</v>
      </c>
      <c r="D12" s="23" t="s">
        <v>240</v>
      </c>
      <c r="E12" s="40">
        <v>0</v>
      </c>
      <c r="F12" s="40">
        <v>0</v>
      </c>
      <c r="G12" s="3"/>
      <c r="O12" s="11"/>
      <c r="P12" s="11"/>
      <c r="Q12" s="11"/>
      <c r="R12" s="11"/>
      <c r="S12" s="11"/>
      <c r="T12" s="11"/>
    </row>
    <row r="13" spans="2:20" s="12" customFormat="1" ht="31.5" customHeight="1">
      <c r="B13" s="2"/>
      <c r="C13" s="41" t="s">
        <v>184</v>
      </c>
      <c r="D13" s="23" t="s">
        <v>241</v>
      </c>
      <c r="E13" s="40">
        <v>0</v>
      </c>
      <c r="F13" s="40">
        <v>0</v>
      </c>
      <c r="G13" s="3"/>
      <c r="O13" s="11"/>
      <c r="P13" s="11"/>
      <c r="Q13" s="11"/>
      <c r="R13" s="11"/>
      <c r="S13" s="11"/>
      <c r="T13" s="11"/>
    </row>
    <row r="14" spans="2:20" s="12" customFormat="1" ht="12.75">
      <c r="B14" s="2"/>
      <c r="C14" s="41" t="s">
        <v>187</v>
      </c>
      <c r="D14" s="9" t="s">
        <v>119</v>
      </c>
      <c r="E14" s="39">
        <f>E15*E16</f>
        <v>0</v>
      </c>
      <c r="F14" s="39">
        <f>F15*F16</f>
        <v>0</v>
      </c>
      <c r="G14" s="3"/>
      <c r="O14" s="11"/>
      <c r="P14" s="11"/>
      <c r="Q14" s="11"/>
      <c r="R14" s="11"/>
      <c r="S14" s="11"/>
      <c r="T14" s="11"/>
    </row>
    <row r="15" spans="2:20" s="12" customFormat="1" ht="12.75">
      <c r="B15" s="2"/>
      <c r="C15" s="41" t="s">
        <v>352</v>
      </c>
      <c r="D15" s="23" t="s">
        <v>243</v>
      </c>
      <c r="E15" s="39">
        <f>'Ф1'!F30/'Прогноз осн.пок-лей'!D12</f>
        <v>0</v>
      </c>
      <c r="F15" s="39">
        <f>E15</f>
        <v>0</v>
      </c>
      <c r="G15" s="3"/>
      <c r="O15" s="11"/>
      <c r="P15" s="11"/>
      <c r="Q15" s="11"/>
      <c r="R15" s="11"/>
      <c r="S15" s="11"/>
      <c r="T15" s="11"/>
    </row>
    <row r="16" spans="2:20" s="12" customFormat="1" ht="25.5">
      <c r="B16" s="2"/>
      <c r="C16" s="41" t="s">
        <v>353</v>
      </c>
      <c r="D16" s="23" t="s">
        <v>242</v>
      </c>
      <c r="E16" s="39">
        <f>('Ф2'!E14*'Прогноз осн.пок-лей'!D13)/'Прогноз осн.пок-лей'!D12</f>
        <v>23.11111111111111</v>
      </c>
      <c r="F16" s="39">
        <f>('Ф2-прогноз'!E14*'Прогноз осн.пок-лей'!D13)/'Прогноз осн.пок-лей'!D12</f>
        <v>26.386820523985776</v>
      </c>
      <c r="G16" s="3"/>
      <c r="O16" s="11"/>
      <c r="P16" s="11"/>
      <c r="Q16" s="11"/>
      <c r="R16" s="11"/>
      <c r="S16" s="11"/>
      <c r="T16" s="11"/>
    </row>
    <row r="17" spans="2:20" s="12" customFormat="1" ht="12.75">
      <c r="B17" s="2"/>
      <c r="C17" s="41" t="s">
        <v>354</v>
      </c>
      <c r="D17" s="9" t="s">
        <v>220</v>
      </c>
      <c r="E17" s="39">
        <f>E18*E19</f>
        <v>68000</v>
      </c>
      <c r="F17" s="39">
        <f>F18*F19</f>
        <v>77638.14500326585</v>
      </c>
      <c r="G17" s="3"/>
      <c r="O17" s="11"/>
      <c r="P17" s="11"/>
      <c r="Q17" s="11"/>
      <c r="R17" s="11"/>
      <c r="S17" s="11"/>
      <c r="T17" s="11"/>
    </row>
    <row r="18" spans="2:20" s="12" customFormat="1" ht="12.75">
      <c r="B18" s="2"/>
      <c r="C18" s="41" t="s">
        <v>355</v>
      </c>
      <c r="D18" s="23" t="s">
        <v>244</v>
      </c>
      <c r="E18" s="39">
        <f>'Ф1-прогноз'!E31/'Расчет ЧОП'!E19</f>
        <v>31.97909862834749</v>
      </c>
      <c r="F18" s="39">
        <f>E18</f>
        <v>31.97909862834749</v>
      </c>
      <c r="G18" s="3"/>
      <c r="O18" s="11"/>
      <c r="P18" s="11"/>
      <c r="Q18" s="11"/>
      <c r="R18" s="11"/>
      <c r="S18" s="11"/>
      <c r="T18" s="11"/>
    </row>
    <row r="19" spans="2:20" s="12" customFormat="1" ht="12.75">
      <c r="B19" s="2"/>
      <c r="C19" s="41" t="s">
        <v>356</v>
      </c>
      <c r="D19" s="23" t="s">
        <v>245</v>
      </c>
      <c r="E19" s="39">
        <f>'Ф2-прогноз'!F10/'Прогноз осн.пок-лей'!D12</f>
        <v>2126.3888888888887</v>
      </c>
      <c r="F19" s="39">
        <f>'Ф2-прогноз'!E10/'Прогноз осн.пок-лей'!D12</f>
        <v>2427.777777777778</v>
      </c>
      <c r="G19" s="3"/>
      <c r="O19" s="11"/>
      <c r="P19" s="11"/>
      <c r="Q19" s="11"/>
      <c r="R19" s="11"/>
      <c r="S19" s="11"/>
      <c r="T19" s="11"/>
    </row>
    <row r="20" spans="2:20" s="12" customFormat="1" ht="12.75">
      <c r="B20" s="2"/>
      <c r="C20" s="41" t="s">
        <v>357</v>
      </c>
      <c r="D20" s="9" t="s">
        <v>221</v>
      </c>
      <c r="E20" s="39">
        <f>E21*E22</f>
        <v>19820</v>
      </c>
      <c r="F20" s="39">
        <f>F21*F22</f>
        <v>22629.235793598957</v>
      </c>
      <c r="G20" s="3"/>
      <c r="O20" s="11"/>
      <c r="P20" s="11"/>
      <c r="Q20" s="11"/>
      <c r="R20" s="11"/>
      <c r="S20" s="11"/>
      <c r="T20" s="11"/>
    </row>
    <row r="21" spans="2:20" s="12" customFormat="1" ht="12.75">
      <c r="B21" s="2"/>
      <c r="C21" s="41" t="s">
        <v>358</v>
      </c>
      <c r="D21" s="23" t="s">
        <v>246</v>
      </c>
      <c r="E21" s="39">
        <f>'Ф1-прогноз'!E32/'Расчет ЧОП'!E22</f>
        <v>9.32096668843893</v>
      </c>
      <c r="F21" s="39">
        <f>E21</f>
        <v>9.32096668843893</v>
      </c>
      <c r="G21" s="3"/>
      <c r="O21" s="11"/>
      <c r="P21" s="11"/>
      <c r="Q21" s="11"/>
      <c r="R21" s="11"/>
      <c r="S21" s="11"/>
      <c r="T21" s="11"/>
    </row>
    <row r="22" spans="2:20" s="12" customFormat="1" ht="25.5">
      <c r="B22" s="2"/>
      <c r="C22" s="41" t="s">
        <v>359</v>
      </c>
      <c r="D22" s="23" t="s">
        <v>241</v>
      </c>
      <c r="E22" s="39">
        <f>'Ф2-прогноз'!F10/'Прогноз осн.пок-лей'!D12</f>
        <v>2126.3888888888887</v>
      </c>
      <c r="F22" s="39">
        <f>'Ф2-прогноз'!E10/'Прогноз осн.пок-лей'!D12</f>
        <v>2427.777777777778</v>
      </c>
      <c r="G22" s="3"/>
      <c r="O22" s="11"/>
      <c r="P22" s="11"/>
      <c r="Q22" s="11"/>
      <c r="R22" s="11"/>
      <c r="S22" s="11"/>
      <c r="T22" s="11"/>
    </row>
    <row r="23" spans="2:20" s="12" customFormat="1" ht="12.75">
      <c r="B23" s="2"/>
      <c r="C23" s="41" t="s">
        <v>360</v>
      </c>
      <c r="D23" s="9" t="s">
        <v>222</v>
      </c>
      <c r="E23" s="39">
        <f>'Ф1-прогноз'!E34</f>
        <v>0</v>
      </c>
      <c r="F23" s="39">
        <f>E23</f>
        <v>0</v>
      </c>
      <c r="G23" s="3"/>
      <c r="O23" s="11"/>
      <c r="P23" s="11"/>
      <c r="Q23" s="11"/>
      <c r="R23" s="11"/>
      <c r="S23" s="11"/>
      <c r="T23" s="11"/>
    </row>
    <row r="24" spans="2:20" s="12" customFormat="1" ht="12.75">
      <c r="B24" s="2"/>
      <c r="C24" s="41" t="s">
        <v>361</v>
      </c>
      <c r="D24" s="9" t="s">
        <v>223</v>
      </c>
      <c r="E24" s="39">
        <f>'Ф1-прогноз'!E36</f>
        <v>18000</v>
      </c>
      <c r="F24" s="39">
        <f>E24/(E8+E11+E17+E20)*(F8+F11+F17+F20)</f>
        <v>20551.27367733508</v>
      </c>
      <c r="G24" s="3"/>
      <c r="O24" s="11"/>
      <c r="P24" s="11"/>
      <c r="Q24" s="11"/>
      <c r="R24" s="11"/>
      <c r="S24" s="11"/>
      <c r="T24" s="11"/>
    </row>
    <row r="25" spans="2:20" s="12" customFormat="1" ht="12.75">
      <c r="B25" s="2"/>
      <c r="C25" s="41" t="s">
        <v>362</v>
      </c>
      <c r="D25" s="9" t="s">
        <v>224</v>
      </c>
      <c r="E25" s="39">
        <f>E26+E30</f>
        <v>70000</v>
      </c>
      <c r="F25" s="39">
        <f>F26+F30</f>
        <v>80500</v>
      </c>
      <c r="G25" s="3"/>
      <c r="O25" s="11"/>
      <c r="P25" s="11"/>
      <c r="Q25" s="11"/>
      <c r="R25" s="11"/>
      <c r="S25" s="11"/>
      <c r="T25" s="11"/>
    </row>
    <row r="26" spans="2:20" s="12" customFormat="1" ht="12.75">
      <c r="B26" s="2"/>
      <c r="C26" s="41" t="s">
        <v>363</v>
      </c>
      <c r="D26" s="23" t="s">
        <v>247</v>
      </c>
      <c r="E26" s="39">
        <f>E29*E28*E27</f>
        <v>0</v>
      </c>
      <c r="F26" s="39">
        <f>F29*'Прогноз осн.пок-лей'!D15*'Прогноз осн.пок-лей'!D16</f>
        <v>0</v>
      </c>
      <c r="G26" s="3"/>
      <c r="O26" s="11"/>
      <c r="P26" s="11"/>
      <c r="Q26" s="11"/>
      <c r="R26" s="11"/>
      <c r="S26" s="11"/>
      <c r="T26" s="11"/>
    </row>
    <row r="27" spans="2:20" s="12" customFormat="1" ht="12.75">
      <c r="B27" s="2"/>
      <c r="C27" s="41" t="s">
        <v>364</v>
      </c>
      <c r="D27" s="23" t="s">
        <v>248</v>
      </c>
      <c r="E27" s="39">
        <f>'Ф1-прогноз'!E42/'Расчет ЧОП'!E29/'Расчет ЧОП'!E28</f>
        <v>0</v>
      </c>
      <c r="F27" s="39">
        <f>'Прогноз осн.пок-лей'!D15</f>
        <v>0</v>
      </c>
      <c r="G27" s="3"/>
      <c r="O27" s="11"/>
      <c r="P27" s="11"/>
      <c r="Q27" s="11"/>
      <c r="R27" s="11"/>
      <c r="S27" s="11"/>
      <c r="T27" s="11"/>
    </row>
    <row r="28" spans="2:20" s="12" customFormat="1" ht="12.75">
      <c r="B28" s="2"/>
      <c r="C28" s="41" t="s">
        <v>365</v>
      </c>
      <c r="D28" s="23" t="s">
        <v>249</v>
      </c>
      <c r="E28" s="40">
        <v>1</v>
      </c>
      <c r="F28" s="39">
        <f>'Прогноз осн.пок-лей'!D16</f>
        <v>1</v>
      </c>
      <c r="G28" s="3"/>
      <c r="O28" s="11"/>
      <c r="P28" s="11"/>
      <c r="Q28" s="11"/>
      <c r="R28" s="11"/>
      <c r="S28" s="11"/>
      <c r="T28" s="11"/>
    </row>
    <row r="29" spans="2:20" s="12" customFormat="1" ht="25.5">
      <c r="B29" s="2"/>
      <c r="C29" s="41" t="s">
        <v>366</v>
      </c>
      <c r="D29" s="23" t="s">
        <v>250</v>
      </c>
      <c r="E29" s="39">
        <f>'Прогноз осн.пок-лей'!D17*'Ф2'!E14/'Прогноз осн.пок-лей'!D12*(1+'Прогноз осн.пок-лей'!D8)</f>
        <v>86.66666666666667</v>
      </c>
      <c r="F29" s="39">
        <f>'Прогноз осн.пок-лей'!D17*'Ф2-прогноз'!E14/'Прогноз осн.пок-лей'!D12*(1+'Прогноз осн.пок-лей'!D8)</f>
        <v>98.95057696494668</v>
      </c>
      <c r="G29" s="3"/>
      <c r="O29" s="11"/>
      <c r="P29" s="11"/>
      <c r="Q29" s="11"/>
      <c r="R29" s="11"/>
      <c r="S29" s="11"/>
      <c r="T29" s="11"/>
    </row>
    <row r="30" spans="2:20" s="12" customFormat="1" ht="25.5">
      <c r="B30" s="2"/>
      <c r="C30" s="41" t="s">
        <v>367</v>
      </c>
      <c r="D30" s="23" t="s">
        <v>251</v>
      </c>
      <c r="E30" s="39">
        <f>E31*E32</f>
        <v>70000</v>
      </c>
      <c r="F30" s="39">
        <f>F31*F32</f>
        <v>80500</v>
      </c>
      <c r="G30" s="3"/>
      <c r="O30" s="11"/>
      <c r="P30" s="11"/>
      <c r="Q30" s="11"/>
      <c r="R30" s="11"/>
      <c r="S30" s="11"/>
      <c r="T30" s="11"/>
    </row>
    <row r="31" spans="2:20" s="12" customFormat="1" ht="12.75">
      <c r="B31" s="2"/>
      <c r="C31" s="41" t="s">
        <v>368</v>
      </c>
      <c r="D31" s="23" t="s">
        <v>252</v>
      </c>
      <c r="E31" s="39">
        <f>'Ф1-прогноз'!E41/E32</f>
        <v>26.526315789473685</v>
      </c>
      <c r="F31" s="39">
        <f>'Прогноз осн.пок-лей'!D18</f>
        <v>26.526315789473685</v>
      </c>
      <c r="G31" s="3"/>
      <c r="O31" s="11"/>
      <c r="P31" s="11"/>
      <c r="Q31" s="11"/>
      <c r="R31" s="11"/>
      <c r="S31" s="11"/>
      <c r="T31" s="11"/>
    </row>
    <row r="32" spans="2:20" s="12" customFormat="1" ht="25.5">
      <c r="B32" s="2"/>
      <c r="C32" s="41" t="s">
        <v>369</v>
      </c>
      <c r="D32" s="23" t="s">
        <v>253</v>
      </c>
      <c r="E32" s="39">
        <f>'Ф2-прогноз'!F8/'Прогноз осн.пок-лей'!D12</f>
        <v>2638.8888888888887</v>
      </c>
      <c r="F32" s="39">
        <f>'Ф2-прогноз'!E8/'Прогноз осн.пок-лей'!D12</f>
        <v>3034.722222222222</v>
      </c>
      <c r="G32" s="3"/>
      <c r="O32" s="11"/>
      <c r="P32" s="11"/>
      <c r="Q32" s="11"/>
      <c r="R32" s="11"/>
      <c r="S32" s="11"/>
      <c r="T32" s="11"/>
    </row>
    <row r="33" spans="2:20" s="12" customFormat="1" ht="12.75">
      <c r="B33" s="2"/>
      <c r="C33" s="41" t="s">
        <v>370</v>
      </c>
      <c r="D33" s="9" t="s">
        <v>207</v>
      </c>
      <c r="E33" s="39">
        <f>'Ф1'!F52</f>
        <v>84</v>
      </c>
      <c r="F33" s="39">
        <f>E33</f>
        <v>84</v>
      </c>
      <c r="G33" s="3"/>
      <c r="O33" s="11"/>
      <c r="P33" s="11"/>
      <c r="Q33" s="11"/>
      <c r="R33" s="11"/>
      <c r="S33" s="11"/>
      <c r="T33" s="11"/>
    </row>
    <row r="34" spans="2:20" s="12" customFormat="1" ht="12.75">
      <c r="B34" s="2"/>
      <c r="C34" s="41" t="s">
        <v>371</v>
      </c>
      <c r="D34" s="9" t="s">
        <v>225</v>
      </c>
      <c r="E34" s="39">
        <f>'Ф1'!F53</f>
        <v>0</v>
      </c>
      <c r="F34" s="39">
        <f>E34</f>
        <v>0</v>
      </c>
      <c r="G34" s="3"/>
      <c r="O34" s="11"/>
      <c r="P34" s="11"/>
      <c r="Q34" s="11"/>
      <c r="R34" s="11"/>
      <c r="S34" s="11"/>
      <c r="T34" s="11"/>
    </row>
    <row r="35" spans="2:20" s="12" customFormat="1" ht="12.75">
      <c r="B35" s="2"/>
      <c r="C35" s="41" t="s">
        <v>372</v>
      </c>
      <c r="D35" s="9" t="s">
        <v>226</v>
      </c>
      <c r="E35" s="39">
        <f>SUM(E8+E11+E14+E17+E20+E24+E25+E34+E23+E33)</f>
        <v>233904</v>
      </c>
      <c r="F35" s="39">
        <f>SUM(F8+F11+F14+F17+F20+F24+F25+F34+F23+F33)</f>
        <v>267623.4252122796</v>
      </c>
      <c r="G35" s="3"/>
      <c r="O35" s="11"/>
      <c r="P35" s="11"/>
      <c r="Q35" s="11"/>
      <c r="R35" s="11"/>
      <c r="S35" s="11"/>
      <c r="T35" s="11"/>
    </row>
    <row r="36" spans="2:20" s="12" customFormat="1" ht="12.75">
      <c r="B36" s="2"/>
      <c r="C36" s="41" t="s">
        <v>373</v>
      </c>
      <c r="D36" s="9" t="s">
        <v>227</v>
      </c>
      <c r="E36" s="24"/>
      <c r="F36" s="39">
        <f>F35-E35</f>
        <v>33719.4252122796</v>
      </c>
      <c r="G36" s="3"/>
      <c r="O36" s="11"/>
      <c r="P36" s="11"/>
      <c r="Q36" s="11"/>
      <c r="R36" s="11"/>
      <c r="S36" s="11"/>
      <c r="T36" s="11"/>
    </row>
    <row r="37" spans="2:20" s="12" customFormat="1" ht="12.75">
      <c r="B37" s="2"/>
      <c r="C37" s="41"/>
      <c r="D37" s="54" t="s">
        <v>374</v>
      </c>
      <c r="E37" s="55"/>
      <c r="F37" s="56"/>
      <c r="G37" s="3"/>
      <c r="O37" s="11"/>
      <c r="P37" s="11"/>
      <c r="Q37" s="11"/>
      <c r="R37" s="11"/>
      <c r="S37" s="11"/>
      <c r="T37" s="11"/>
    </row>
    <row r="38" spans="2:20" s="12" customFormat="1" ht="12.75">
      <c r="B38" s="2"/>
      <c r="C38" s="41" t="s">
        <v>188</v>
      </c>
      <c r="D38" s="9" t="s">
        <v>228</v>
      </c>
      <c r="E38" s="39">
        <f>E39*E40</f>
        <v>166223</v>
      </c>
      <c r="F38" s="39">
        <f>F39*F40</f>
        <v>183025.86201564566</v>
      </c>
      <c r="G38" s="3"/>
      <c r="O38" s="11"/>
      <c r="P38" s="11"/>
      <c r="Q38" s="11"/>
      <c r="R38" s="11"/>
      <c r="S38" s="11"/>
      <c r="T38" s="11"/>
    </row>
    <row r="39" spans="2:20" s="12" customFormat="1" ht="12.75">
      <c r="B39" s="2"/>
      <c r="C39" s="41" t="s">
        <v>193</v>
      </c>
      <c r="D39" s="23" t="s">
        <v>254</v>
      </c>
      <c r="E39" s="39">
        <f>'Ф1-прогноз'!E75/'Расчет ЧОП'!E40</f>
        <v>139.16344186046513</v>
      </c>
      <c r="F39" s="39">
        <f>'Прогноз осн.пок-лей'!D19</f>
        <v>139.16344186046513</v>
      </c>
      <c r="G39" s="3"/>
      <c r="O39" s="11"/>
      <c r="P39" s="11"/>
      <c r="Q39" s="11"/>
      <c r="R39" s="11"/>
      <c r="S39" s="11"/>
      <c r="T39" s="11"/>
    </row>
    <row r="40" spans="2:20" s="12" customFormat="1" ht="12.75">
      <c r="B40" s="2"/>
      <c r="C40" s="41" t="s">
        <v>194</v>
      </c>
      <c r="D40" s="23" t="s">
        <v>255</v>
      </c>
      <c r="E40" s="39">
        <f>'Ф2-прогноз'!F11/'Прогноз осн.пок-лей'!D12</f>
        <v>1194.4444444444443</v>
      </c>
      <c r="F40" s="39">
        <f>'Ф2-прогноз'!E11/'Прогноз осн.пок-лей'!D12</f>
        <v>1315.1863705639016</v>
      </c>
      <c r="G40" s="3"/>
      <c r="O40" s="11"/>
      <c r="P40" s="11"/>
      <c r="Q40" s="11"/>
      <c r="R40" s="11"/>
      <c r="S40" s="11"/>
      <c r="T40" s="11"/>
    </row>
    <row r="41" spans="2:20" s="12" customFormat="1" ht="12.75">
      <c r="B41" s="2"/>
      <c r="C41" s="41" t="s">
        <v>195</v>
      </c>
      <c r="D41" s="9" t="s">
        <v>229</v>
      </c>
      <c r="E41" s="39">
        <f>E42*E43</f>
        <v>0</v>
      </c>
      <c r="F41" s="39">
        <f>F42*F43</f>
        <v>0</v>
      </c>
      <c r="G41" s="3"/>
      <c r="O41" s="11"/>
      <c r="P41" s="11"/>
      <c r="Q41" s="11"/>
      <c r="R41" s="11"/>
      <c r="S41" s="11"/>
      <c r="T41" s="11"/>
    </row>
    <row r="42" spans="2:20" s="12" customFormat="1" ht="25.5">
      <c r="B42" s="2"/>
      <c r="C42" s="41" t="s">
        <v>310</v>
      </c>
      <c r="D42" s="23" t="s">
        <v>256</v>
      </c>
      <c r="E42" s="39">
        <f>'Ф1-прогноз'!E76/'Расчет ЧОП'!E43</f>
        <v>0</v>
      </c>
      <c r="F42" s="39">
        <f>'Прогноз осн.пок-лей'!D20</f>
        <v>0</v>
      </c>
      <c r="G42" s="3"/>
      <c r="O42" s="11"/>
      <c r="P42" s="11"/>
      <c r="Q42" s="11"/>
      <c r="R42" s="11"/>
      <c r="S42" s="11"/>
      <c r="T42" s="11"/>
    </row>
    <row r="43" spans="2:20" s="12" customFormat="1" ht="25.5">
      <c r="B43" s="2"/>
      <c r="C43" s="41" t="s">
        <v>311</v>
      </c>
      <c r="D43" s="23" t="s">
        <v>253</v>
      </c>
      <c r="E43" s="39">
        <f>'Ф2-прогноз'!F8/'Прогноз осн.пок-лей'!D12</f>
        <v>2638.8888888888887</v>
      </c>
      <c r="F43" s="39">
        <f>'Ф2-прогноз'!E8/'Прогноз осн.пок-лей'!D12</f>
        <v>3034.722222222222</v>
      </c>
      <c r="G43" s="3"/>
      <c r="O43" s="11"/>
      <c r="P43" s="11"/>
      <c r="Q43" s="11"/>
      <c r="R43" s="11"/>
      <c r="S43" s="11"/>
      <c r="T43" s="11"/>
    </row>
    <row r="44" spans="2:20" s="12" customFormat="1" ht="12.75">
      <c r="B44" s="2"/>
      <c r="C44" s="41" t="s">
        <v>196</v>
      </c>
      <c r="D44" s="9" t="s">
        <v>230</v>
      </c>
      <c r="E44" s="39">
        <f>E45*E46</f>
        <v>0</v>
      </c>
      <c r="F44" s="39">
        <f>F45*F46</f>
        <v>0</v>
      </c>
      <c r="G44" s="3"/>
      <c r="O44" s="11"/>
      <c r="P44" s="11"/>
      <c r="Q44" s="11"/>
      <c r="R44" s="11"/>
      <c r="S44" s="11"/>
      <c r="T44" s="11"/>
    </row>
    <row r="45" spans="2:20" s="12" customFormat="1" ht="12.75">
      <c r="B45" s="2"/>
      <c r="C45" s="41" t="s">
        <v>376</v>
      </c>
      <c r="D45" s="23" t="s">
        <v>257</v>
      </c>
      <c r="E45" s="39">
        <f>'Ф1-прогноз'!E77/'Расчет ЧОП'!E46</f>
        <v>0</v>
      </c>
      <c r="F45" s="39">
        <f>E45</f>
        <v>0</v>
      </c>
      <c r="G45" s="3"/>
      <c r="O45" s="11"/>
      <c r="P45" s="11"/>
      <c r="Q45" s="11"/>
      <c r="R45" s="11"/>
      <c r="S45" s="11"/>
      <c r="T45" s="11"/>
    </row>
    <row r="46" spans="2:20" s="12" customFormat="1" ht="12.75">
      <c r="B46" s="2"/>
      <c r="C46" s="41" t="s">
        <v>377</v>
      </c>
      <c r="D46" s="23" t="s">
        <v>258</v>
      </c>
      <c r="E46" s="39">
        <f>'Ф2-прогноз'!F14*'Прогноз осн.пок-лей'!D21/'Прогноз осн.пок-лей'!D12</f>
        <v>86.66666666666667</v>
      </c>
      <c r="F46" s="39">
        <f>'Ф2-прогноз'!E14*'Прогноз осн.пок-лей'!D21/'Прогноз осн.пок-лей'!D12</f>
        <v>98.95057696494665</v>
      </c>
      <c r="G46" s="3"/>
      <c r="O46" s="11"/>
      <c r="P46" s="11"/>
      <c r="Q46" s="11"/>
      <c r="R46" s="11"/>
      <c r="S46" s="11"/>
      <c r="T46" s="11"/>
    </row>
    <row r="47" spans="2:20" s="12" customFormat="1" ht="25.5">
      <c r="B47" s="2"/>
      <c r="C47" s="41" t="s">
        <v>378</v>
      </c>
      <c r="D47" s="9" t="s">
        <v>231</v>
      </c>
      <c r="E47" s="39">
        <f>E48*E49</f>
        <v>0</v>
      </c>
      <c r="F47" s="39">
        <f>F48*F49</f>
        <v>0</v>
      </c>
      <c r="G47" s="3"/>
      <c r="O47" s="11"/>
      <c r="P47" s="11"/>
      <c r="Q47" s="11"/>
      <c r="R47" s="11"/>
      <c r="S47" s="11"/>
      <c r="T47" s="11"/>
    </row>
    <row r="48" spans="2:20" s="12" customFormat="1" ht="25.5">
      <c r="B48" s="2"/>
      <c r="C48" s="41" t="s">
        <v>379</v>
      </c>
      <c r="D48" s="23" t="s">
        <v>259</v>
      </c>
      <c r="E48" s="39">
        <f>'Ф1-прогноз'!E78/'Расчет ЧОП'!E49</f>
        <v>0</v>
      </c>
      <c r="F48" s="39">
        <f>E48</f>
        <v>0</v>
      </c>
      <c r="G48" s="3"/>
      <c r="O48" s="11"/>
      <c r="P48" s="11"/>
      <c r="Q48" s="11"/>
      <c r="R48" s="11"/>
      <c r="S48" s="11"/>
      <c r="T48" s="11"/>
    </row>
    <row r="49" spans="2:20" s="12" customFormat="1" ht="25.5">
      <c r="B49" s="2"/>
      <c r="C49" s="41" t="s">
        <v>380</v>
      </c>
      <c r="D49" s="23" t="s">
        <v>260</v>
      </c>
      <c r="E49" s="39">
        <f>('Ф2-прогноз'!F9+'Ф2-прогноз'!F39+'Ф2-прогноз'!F40+'Ф2-прогноз'!F14*'Прогноз осн.пок-лей'!D21*34%)/'Прогноз осн.пок-лей'!D12</f>
        <v>624.8944444444444</v>
      </c>
      <c r="F49" s="39">
        <f>('Ф2-прогноз'!E9+'Ф2-прогноз'!E39+'Ф2-прогноз'!E40+'Ф2-прогноз'!E14*'Прогноз осн.пок-лей'!D21*34%)/'Прогноз осн.пок-лей'!D12</f>
        <v>885.215783438566</v>
      </c>
      <c r="G49" s="3"/>
      <c r="O49" s="11"/>
      <c r="P49" s="11"/>
      <c r="Q49" s="11"/>
      <c r="R49" s="11"/>
      <c r="S49" s="11"/>
      <c r="T49" s="11"/>
    </row>
    <row r="50" spans="2:20" s="12" customFormat="1" ht="12.75">
      <c r="B50" s="2"/>
      <c r="C50" s="41" t="s">
        <v>381</v>
      </c>
      <c r="D50" s="9" t="s">
        <v>232</v>
      </c>
      <c r="E50" s="39">
        <f>'Ф1-прогноз'!E79+'Ф1-прогноз'!E80+'Ф1-прогноз'!E81</f>
        <v>0</v>
      </c>
      <c r="F50" s="39">
        <f>E50</f>
        <v>0</v>
      </c>
      <c r="G50" s="3"/>
      <c r="O50" s="11"/>
      <c r="P50" s="11"/>
      <c r="Q50" s="11"/>
      <c r="R50" s="11"/>
      <c r="S50" s="11"/>
      <c r="T50" s="11"/>
    </row>
    <row r="51" spans="2:20" s="12" customFormat="1" ht="12.75">
      <c r="B51" s="2"/>
      <c r="C51" s="41" t="s">
        <v>382</v>
      </c>
      <c r="D51" s="9" t="s">
        <v>233</v>
      </c>
      <c r="E51" s="39">
        <f>'Ф1-прогноз'!E84+'Ф1-прогноз'!E85</f>
        <v>0</v>
      </c>
      <c r="F51" s="39">
        <f>E51</f>
        <v>0</v>
      </c>
      <c r="G51" s="3"/>
      <c r="O51" s="11"/>
      <c r="P51" s="11"/>
      <c r="Q51" s="11"/>
      <c r="R51" s="11"/>
      <c r="S51" s="11"/>
      <c r="T51" s="11"/>
    </row>
    <row r="52" spans="2:20" s="12" customFormat="1" ht="12.75">
      <c r="B52" s="2"/>
      <c r="C52" s="41" t="s">
        <v>383</v>
      </c>
      <c r="D52" s="9" t="s">
        <v>234</v>
      </c>
      <c r="E52" s="39">
        <f>E38+E41+E44+E47+E50+E51</f>
        <v>166223</v>
      </c>
      <c r="F52" s="39">
        <f>F38+F41+F44+F47+F50+F51</f>
        <v>183025.86201564566</v>
      </c>
      <c r="G52" s="3"/>
      <c r="O52" s="11"/>
      <c r="P52" s="11"/>
      <c r="Q52" s="11"/>
      <c r="R52" s="11"/>
      <c r="S52" s="11"/>
      <c r="T52" s="11"/>
    </row>
    <row r="53" spans="2:20" s="12" customFormat="1" ht="12.75">
      <c r="B53" s="2"/>
      <c r="C53" s="41" t="s">
        <v>384</v>
      </c>
      <c r="D53" s="9" t="s">
        <v>235</v>
      </c>
      <c r="E53" s="39"/>
      <c r="F53" s="39">
        <f>F52-E52</f>
        <v>16802.86201564566</v>
      </c>
      <c r="G53" s="3"/>
      <c r="O53" s="11"/>
      <c r="P53" s="11"/>
      <c r="Q53" s="11"/>
      <c r="R53" s="11"/>
      <c r="S53" s="11"/>
      <c r="T53" s="11"/>
    </row>
    <row r="54" spans="2:20" s="12" customFormat="1" ht="12.75">
      <c r="B54" s="2"/>
      <c r="C54" s="41" t="s">
        <v>385</v>
      </c>
      <c r="D54" s="9" t="s">
        <v>236</v>
      </c>
      <c r="E54" s="39">
        <f>E35-E52</f>
        <v>67681</v>
      </c>
      <c r="F54" s="39">
        <f>F35-F52</f>
        <v>84597.56319663394</v>
      </c>
      <c r="G54" s="3"/>
      <c r="O54" s="11"/>
      <c r="P54" s="11"/>
      <c r="Q54" s="11"/>
      <c r="R54" s="11"/>
      <c r="S54" s="11"/>
      <c r="T54" s="11"/>
    </row>
    <row r="55" spans="2:20" s="12" customFormat="1" ht="12.75">
      <c r="B55" s="2"/>
      <c r="C55" s="41" t="s">
        <v>386</v>
      </c>
      <c r="D55" s="9" t="s">
        <v>237</v>
      </c>
      <c r="E55" s="39"/>
      <c r="F55" s="39">
        <f>F54-E54</f>
        <v>16916.563196633942</v>
      </c>
      <c r="G55" s="3"/>
      <c r="O55" s="11"/>
      <c r="P55" s="11"/>
      <c r="Q55" s="11"/>
      <c r="R55" s="11"/>
      <c r="S55" s="11"/>
      <c r="T55" s="11"/>
    </row>
    <row r="56" spans="2:7" ht="12" customHeight="1" thickBot="1">
      <c r="B56" s="4"/>
      <c r="C56" s="21"/>
      <c r="D56" s="21"/>
      <c r="E56" s="21"/>
      <c r="F56" s="21"/>
      <c r="G56" s="22"/>
    </row>
  </sheetData>
  <sheetProtection/>
  <mergeCells count="6">
    <mergeCell ref="D37:F37"/>
    <mergeCell ref="C5:C6"/>
    <mergeCell ref="C3:F3"/>
    <mergeCell ref="C7:F7"/>
    <mergeCell ref="D5:D6"/>
    <mergeCell ref="E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6" r:id="rId1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7" min="1" max="2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B1:AL54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4.00390625" style="1" customWidth="1"/>
    <col min="2" max="2" width="3.25390625" style="1" customWidth="1"/>
    <col min="3" max="3" width="7.875" style="13" customWidth="1"/>
    <col min="4" max="4" width="60.00390625" style="13" customWidth="1"/>
    <col min="5" max="5" width="8.75390625" style="14" customWidth="1"/>
    <col min="6" max="6" width="15.625" style="14" customWidth="1"/>
    <col min="7" max="7" width="3.00390625" style="1" customWidth="1"/>
    <col min="8" max="8" width="8.00390625" style="1" bestFit="1" customWidth="1"/>
    <col min="9" max="9" width="2.75390625" style="1" customWidth="1"/>
    <col min="10" max="10" width="6.625" style="1" bestFit="1" customWidth="1"/>
    <col min="11" max="11" width="2.75390625" style="1" customWidth="1"/>
    <col min="12" max="12" width="6.625" style="1" bestFit="1" customWidth="1"/>
    <col min="13" max="14" width="2.75390625" style="1" customWidth="1"/>
    <col min="15" max="19" width="3.25390625" style="1" bestFit="1" customWidth="1"/>
    <col min="20" max="20" width="4.75390625" style="1" bestFit="1" customWidth="1"/>
    <col min="21" max="16384" width="2.75390625" style="1" customWidth="1"/>
  </cols>
  <sheetData>
    <row r="1" spans="2:13" ht="15" customHeight="1" thickBot="1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38" ht="11.25" customHeight="1">
      <c r="B2" s="15"/>
      <c r="C2" s="16"/>
      <c r="D2" s="16"/>
      <c r="E2" s="16"/>
      <c r="F2" s="16"/>
      <c r="G2" s="17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2:38" ht="18">
      <c r="B3" s="18"/>
      <c r="C3" s="53" t="s">
        <v>295</v>
      </c>
      <c r="D3" s="53"/>
      <c r="E3" s="53"/>
      <c r="F3" s="53"/>
      <c r="G3" s="19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2:38" ht="12.75" customHeight="1">
      <c r="B4" s="18"/>
      <c r="C4" s="7"/>
      <c r="D4" s="7"/>
      <c r="E4" s="7"/>
      <c r="F4" s="28" t="str">
        <f>'Расчет ЧОП'!F4</f>
        <v>(млн.руб)</v>
      </c>
      <c r="G4" s="19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2:38" ht="14.25">
      <c r="B5" s="20"/>
      <c r="C5" s="26" t="s">
        <v>296</v>
      </c>
      <c r="D5" s="26" t="s">
        <v>347</v>
      </c>
      <c r="E5" s="47">
        <f>'Ф2'!D4</f>
        <v>2010</v>
      </c>
      <c r="F5" s="48">
        <f>E5+1</f>
        <v>2011</v>
      </c>
      <c r="G5" s="19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2:20" s="12" customFormat="1" ht="12.75">
      <c r="B6" s="2"/>
      <c r="C6" s="54" t="s">
        <v>291</v>
      </c>
      <c r="D6" s="55"/>
      <c r="E6" s="55"/>
      <c r="F6" s="56"/>
      <c r="G6" s="3"/>
      <c r="O6" s="11"/>
      <c r="P6" s="11"/>
      <c r="Q6" s="11"/>
      <c r="R6" s="11"/>
      <c r="S6" s="11"/>
      <c r="T6" s="11"/>
    </row>
    <row r="7" spans="2:20" s="12" customFormat="1" ht="12.75">
      <c r="B7" s="2"/>
      <c r="C7" s="52" t="s">
        <v>179</v>
      </c>
      <c r="D7" s="9" t="s">
        <v>297</v>
      </c>
      <c r="E7" s="39"/>
      <c r="F7" s="39"/>
      <c r="G7" s="3"/>
      <c r="O7" s="11"/>
      <c r="P7" s="11"/>
      <c r="Q7" s="11"/>
      <c r="R7" s="11"/>
      <c r="S7" s="11"/>
      <c r="T7" s="11"/>
    </row>
    <row r="8" spans="2:20" s="12" customFormat="1" ht="12.75">
      <c r="B8" s="2"/>
      <c r="C8" s="41" t="s">
        <v>180</v>
      </c>
      <c r="D8" s="23" t="s">
        <v>298</v>
      </c>
      <c r="E8" s="39"/>
      <c r="F8" s="39">
        <f>'Ф2-прогноз'!E8</f>
        <v>1092500</v>
      </c>
      <c r="G8" s="3"/>
      <c r="O8" s="11"/>
      <c r="P8" s="11"/>
      <c r="Q8" s="11"/>
      <c r="R8" s="11"/>
      <c r="S8" s="11"/>
      <c r="T8" s="11"/>
    </row>
    <row r="9" spans="2:20" s="12" customFormat="1" ht="12.75">
      <c r="B9" s="2"/>
      <c r="C9" s="41" t="s">
        <v>181</v>
      </c>
      <c r="D9" s="23" t="s">
        <v>235</v>
      </c>
      <c r="E9" s="40"/>
      <c r="F9" s="39">
        <f>'Расчет ЧОП'!F53</f>
        <v>16802.86201564566</v>
      </c>
      <c r="G9" s="3"/>
      <c r="O9" s="11"/>
      <c r="P9" s="11"/>
      <c r="Q9" s="11"/>
      <c r="R9" s="11"/>
      <c r="S9" s="11"/>
      <c r="T9" s="11"/>
    </row>
    <row r="10" spans="2:20" s="12" customFormat="1" ht="12.75">
      <c r="B10" s="2"/>
      <c r="C10" s="41" t="s">
        <v>182</v>
      </c>
      <c r="D10" s="23" t="s">
        <v>299</v>
      </c>
      <c r="E10" s="40"/>
      <c r="F10" s="39">
        <f>'Ф2-прогноз'!E17+'Ф2-прогноз'!E30</f>
        <v>59200</v>
      </c>
      <c r="G10" s="3"/>
      <c r="O10" s="11"/>
      <c r="P10" s="11"/>
      <c r="Q10" s="11"/>
      <c r="R10" s="11"/>
      <c r="S10" s="11"/>
      <c r="T10" s="11"/>
    </row>
    <row r="11" spans="2:20" s="12" customFormat="1" ht="31.5" customHeight="1">
      <c r="B11" s="2"/>
      <c r="C11" s="41"/>
      <c r="D11" s="9" t="s">
        <v>292</v>
      </c>
      <c r="E11" s="40"/>
      <c r="F11" s="39">
        <f>F8+F9+F10</f>
        <v>1168502.8620156457</v>
      </c>
      <c r="G11" s="3"/>
      <c r="O11" s="11"/>
      <c r="P11" s="11"/>
      <c r="Q11" s="11"/>
      <c r="R11" s="11"/>
      <c r="S11" s="11"/>
      <c r="T11" s="11"/>
    </row>
    <row r="12" spans="2:20" s="12" customFormat="1" ht="12.75">
      <c r="B12" s="2"/>
      <c r="C12" s="41" t="s">
        <v>186</v>
      </c>
      <c r="D12" s="9" t="s">
        <v>300</v>
      </c>
      <c r="E12" s="39"/>
      <c r="F12" s="39"/>
      <c r="G12" s="3"/>
      <c r="O12" s="11"/>
      <c r="P12" s="11"/>
      <c r="Q12" s="11"/>
      <c r="R12" s="11"/>
      <c r="S12" s="11"/>
      <c r="T12" s="11"/>
    </row>
    <row r="13" spans="2:20" s="12" customFormat="1" ht="25.5">
      <c r="B13" s="2"/>
      <c r="C13" s="41" t="s">
        <v>183</v>
      </c>
      <c r="D13" s="23" t="s">
        <v>301</v>
      </c>
      <c r="E13" s="39"/>
      <c r="F13" s="39">
        <f>'Ф2-прогноз'!E11+'Ф2-прогноз'!E14-'Прогноз осн.пок-лей'!D22</f>
        <v>592197.7834752263</v>
      </c>
      <c r="G13" s="3"/>
      <c r="O13" s="11"/>
      <c r="P13" s="11"/>
      <c r="Q13" s="11"/>
      <c r="R13" s="11"/>
      <c r="S13" s="11"/>
      <c r="T13" s="11"/>
    </row>
    <row r="14" spans="2:20" s="12" customFormat="1" ht="12.75">
      <c r="B14" s="2"/>
      <c r="C14" s="41" t="s">
        <v>184</v>
      </c>
      <c r="D14" s="23" t="s">
        <v>302</v>
      </c>
      <c r="E14" s="39"/>
      <c r="F14" s="39">
        <f>'Ф2-прогноз'!E9+'Ф2-прогноз'!E18+'Ф2-прогноз'!E31-F30</f>
        <v>220384</v>
      </c>
      <c r="G14" s="3"/>
      <c r="O14" s="11"/>
      <c r="P14" s="11"/>
      <c r="Q14" s="11"/>
      <c r="R14" s="11"/>
      <c r="S14" s="11"/>
      <c r="T14" s="11"/>
    </row>
    <row r="15" spans="2:20" s="12" customFormat="1" ht="12" customHeight="1">
      <c r="B15" s="2"/>
      <c r="C15" s="41" t="s">
        <v>349</v>
      </c>
      <c r="D15" s="23"/>
      <c r="E15" s="39"/>
      <c r="F15" s="39"/>
      <c r="G15" s="3"/>
      <c r="O15" s="11"/>
      <c r="P15" s="11"/>
      <c r="Q15" s="11"/>
      <c r="R15" s="11"/>
      <c r="S15" s="11"/>
      <c r="T15" s="11"/>
    </row>
    <row r="16" spans="2:20" s="12" customFormat="1" ht="12.75">
      <c r="B16" s="2"/>
      <c r="C16" s="41" t="s">
        <v>189</v>
      </c>
      <c r="D16" s="23" t="s">
        <v>303</v>
      </c>
      <c r="E16" s="39"/>
      <c r="F16" s="39">
        <f>'Ф2-прогноз'!E39+'Ф2-прогноз'!E40</f>
        <v>88066.13141737426</v>
      </c>
      <c r="G16" s="3"/>
      <c r="O16" s="11"/>
      <c r="P16" s="11"/>
      <c r="Q16" s="11"/>
      <c r="R16" s="11"/>
      <c r="S16" s="11"/>
      <c r="T16" s="11"/>
    </row>
    <row r="17" spans="2:20" s="12" customFormat="1" ht="12.75">
      <c r="B17" s="2"/>
      <c r="C17" s="41" t="s">
        <v>190</v>
      </c>
      <c r="D17" s="23" t="s">
        <v>304</v>
      </c>
      <c r="E17" s="39"/>
      <c r="F17" s="39">
        <f>'Ф2-прогноз'!E41</f>
        <v>0</v>
      </c>
      <c r="G17" s="3"/>
      <c r="O17" s="11"/>
      <c r="P17" s="11"/>
      <c r="Q17" s="11"/>
      <c r="R17" s="11"/>
      <c r="S17" s="11"/>
      <c r="T17" s="11"/>
    </row>
    <row r="18" spans="2:20" s="12" customFormat="1" ht="12.75">
      <c r="B18" s="2"/>
      <c r="C18" s="41" t="s">
        <v>191</v>
      </c>
      <c r="D18" s="23" t="s">
        <v>305</v>
      </c>
      <c r="E18" s="39"/>
      <c r="F18" s="39">
        <f>'Расчет ЧОП'!F36</f>
        <v>33719.4252122796</v>
      </c>
      <c r="G18" s="3"/>
      <c r="O18" s="11"/>
      <c r="P18" s="11"/>
      <c r="Q18" s="11"/>
      <c r="R18" s="11"/>
      <c r="S18" s="11"/>
      <c r="T18" s="11"/>
    </row>
    <row r="19" spans="2:20" s="12" customFormat="1" ht="12.75">
      <c r="B19" s="2"/>
      <c r="C19" s="41" t="s">
        <v>192</v>
      </c>
      <c r="D19" s="23" t="s">
        <v>306</v>
      </c>
      <c r="E19" s="39"/>
      <c r="F19" s="39">
        <f>'Ф2-прогноз'!E33+'Ф2-прогноз'!E24</f>
        <v>34650</v>
      </c>
      <c r="G19" s="3"/>
      <c r="O19" s="11"/>
      <c r="P19" s="11"/>
      <c r="Q19" s="11"/>
      <c r="R19" s="11"/>
      <c r="S19" s="11"/>
      <c r="T19" s="11"/>
    </row>
    <row r="20" spans="2:20" s="12" customFormat="1" ht="25.5">
      <c r="B20" s="2"/>
      <c r="C20" s="41"/>
      <c r="D20" s="9" t="s">
        <v>307</v>
      </c>
      <c r="E20" s="39"/>
      <c r="F20" s="39">
        <f>SUM(F13:F19)</f>
        <v>969017.34010488</v>
      </c>
      <c r="G20" s="3"/>
      <c r="O20" s="11"/>
      <c r="P20" s="11"/>
      <c r="Q20" s="11"/>
      <c r="R20" s="11"/>
      <c r="S20" s="11"/>
      <c r="T20" s="11"/>
    </row>
    <row r="21" spans="2:20" s="12" customFormat="1" ht="32.25" customHeight="1">
      <c r="B21" s="2"/>
      <c r="C21" s="41" t="s">
        <v>187</v>
      </c>
      <c r="D21" s="9" t="s">
        <v>308</v>
      </c>
      <c r="E21" s="39"/>
      <c r="F21" s="39">
        <f>F11-F20</f>
        <v>199485.52191076567</v>
      </c>
      <c r="G21" s="3"/>
      <c r="O21" s="11"/>
      <c r="P21" s="11"/>
      <c r="Q21" s="11"/>
      <c r="R21" s="11"/>
      <c r="S21" s="11"/>
      <c r="T21" s="11"/>
    </row>
    <row r="22" spans="2:20" s="12" customFormat="1" ht="12.75">
      <c r="B22" s="2"/>
      <c r="C22" s="54" t="s">
        <v>293</v>
      </c>
      <c r="D22" s="55"/>
      <c r="E22" s="55"/>
      <c r="F22" s="56"/>
      <c r="G22" s="3"/>
      <c r="O22" s="11"/>
      <c r="P22" s="11"/>
      <c r="Q22" s="11"/>
      <c r="R22" s="11"/>
      <c r="S22" s="11"/>
      <c r="T22" s="11"/>
    </row>
    <row r="23" spans="2:20" s="12" customFormat="1" ht="12.75">
      <c r="B23" s="2"/>
      <c r="C23" s="41" t="s">
        <v>188</v>
      </c>
      <c r="D23" s="9" t="s">
        <v>321</v>
      </c>
      <c r="E23" s="39"/>
      <c r="F23" s="39"/>
      <c r="G23" s="3"/>
      <c r="O23" s="11"/>
      <c r="P23" s="11"/>
      <c r="Q23" s="11"/>
      <c r="R23" s="11"/>
      <c r="S23" s="11"/>
      <c r="T23" s="11"/>
    </row>
    <row r="24" spans="2:20" s="12" customFormat="1" ht="25.5">
      <c r="B24" s="2"/>
      <c r="C24" s="41" t="s">
        <v>193</v>
      </c>
      <c r="D24" s="23" t="s">
        <v>322</v>
      </c>
      <c r="E24" s="39"/>
      <c r="F24" s="40">
        <v>0</v>
      </c>
      <c r="G24" s="3"/>
      <c r="O24" s="11"/>
      <c r="P24" s="11"/>
      <c r="Q24" s="11"/>
      <c r="R24" s="11"/>
      <c r="S24" s="11"/>
      <c r="T24" s="11"/>
    </row>
    <row r="25" spans="2:20" s="12" customFormat="1" ht="12.75">
      <c r="B25" s="2"/>
      <c r="C25" s="41" t="s">
        <v>194</v>
      </c>
      <c r="D25" s="23" t="s">
        <v>323</v>
      </c>
      <c r="E25" s="39"/>
      <c r="F25" s="40">
        <v>0</v>
      </c>
      <c r="G25" s="3"/>
      <c r="O25" s="11"/>
      <c r="P25" s="11"/>
      <c r="Q25" s="11"/>
      <c r="R25" s="11"/>
      <c r="S25" s="11"/>
      <c r="T25" s="11"/>
    </row>
    <row r="26" spans="2:20" s="12" customFormat="1" ht="12.75">
      <c r="B26" s="2"/>
      <c r="C26" s="41" t="s">
        <v>309</v>
      </c>
      <c r="D26" s="23" t="s">
        <v>348</v>
      </c>
      <c r="E26" s="39"/>
      <c r="F26" s="40">
        <v>0</v>
      </c>
      <c r="G26" s="3"/>
      <c r="O26" s="11"/>
      <c r="P26" s="11"/>
      <c r="Q26" s="11"/>
      <c r="R26" s="11"/>
      <c r="S26" s="11"/>
      <c r="T26" s="11"/>
    </row>
    <row r="27" spans="2:20" s="12" customFormat="1" ht="12.75">
      <c r="B27" s="2"/>
      <c r="C27" s="41"/>
      <c r="D27" s="9" t="s">
        <v>324</v>
      </c>
      <c r="E27" s="40"/>
      <c r="F27" s="39">
        <f>F24+F25+F26</f>
        <v>0</v>
      </c>
      <c r="G27" s="3"/>
      <c r="O27" s="11"/>
      <c r="P27" s="11"/>
      <c r="Q27" s="11"/>
      <c r="R27" s="11"/>
      <c r="S27" s="11"/>
      <c r="T27" s="11"/>
    </row>
    <row r="28" spans="2:20" s="12" customFormat="1" ht="12.75">
      <c r="B28" s="2"/>
      <c r="C28" s="41" t="s">
        <v>195</v>
      </c>
      <c r="D28" s="9" t="s">
        <v>325</v>
      </c>
      <c r="E28" s="39"/>
      <c r="F28" s="39"/>
      <c r="G28" s="3"/>
      <c r="O28" s="11"/>
      <c r="P28" s="11"/>
      <c r="Q28" s="11"/>
      <c r="R28" s="11"/>
      <c r="S28" s="11"/>
      <c r="T28" s="11"/>
    </row>
    <row r="29" spans="2:20" s="12" customFormat="1" ht="12.75">
      <c r="B29" s="2"/>
      <c r="C29" s="41" t="s">
        <v>310</v>
      </c>
      <c r="D29" s="23" t="s">
        <v>326</v>
      </c>
      <c r="E29" s="39"/>
      <c r="F29" s="39">
        <f>'Прогноз осн.пок-лей'!D23</f>
        <v>80</v>
      </c>
      <c r="G29" s="3"/>
      <c r="O29" s="11"/>
      <c r="P29" s="11"/>
      <c r="Q29" s="11"/>
      <c r="R29" s="11"/>
      <c r="S29" s="11"/>
      <c r="T29" s="11"/>
    </row>
    <row r="30" spans="2:20" s="12" customFormat="1" ht="12.75">
      <c r="B30" s="2"/>
      <c r="C30" s="41" t="s">
        <v>311</v>
      </c>
      <c r="D30" s="23" t="s">
        <v>327</v>
      </c>
      <c r="E30" s="39"/>
      <c r="F30" s="39">
        <f>F29*'Прогноз осн.пок-лей'!D8</f>
        <v>16</v>
      </c>
      <c r="G30" s="3"/>
      <c r="O30" s="11"/>
      <c r="P30" s="11"/>
      <c r="Q30" s="11"/>
      <c r="R30" s="11"/>
      <c r="S30" s="11"/>
      <c r="T30" s="11"/>
    </row>
    <row r="31" spans="2:20" s="12" customFormat="1" ht="12.75">
      <c r="B31" s="2"/>
      <c r="C31" s="41" t="s">
        <v>312</v>
      </c>
      <c r="D31" s="23" t="s">
        <v>328</v>
      </c>
      <c r="E31" s="39"/>
      <c r="F31" s="40">
        <v>0</v>
      </c>
      <c r="G31" s="3"/>
      <c r="O31" s="11"/>
      <c r="P31" s="11"/>
      <c r="Q31" s="11"/>
      <c r="R31" s="11"/>
      <c r="S31" s="11"/>
      <c r="T31" s="11"/>
    </row>
    <row r="32" spans="2:20" s="12" customFormat="1" ht="12.75">
      <c r="B32" s="2"/>
      <c r="C32" s="41" t="s">
        <v>313</v>
      </c>
      <c r="D32" s="23" t="s">
        <v>329</v>
      </c>
      <c r="E32" s="39"/>
      <c r="F32" s="40">
        <v>0</v>
      </c>
      <c r="G32" s="3"/>
      <c r="O32" s="11"/>
      <c r="P32" s="11"/>
      <c r="Q32" s="11"/>
      <c r="R32" s="11"/>
      <c r="S32" s="11"/>
      <c r="T32" s="11"/>
    </row>
    <row r="33" spans="2:20" s="12" customFormat="1" ht="12.75">
      <c r="B33" s="2"/>
      <c r="C33" s="41" t="s">
        <v>314</v>
      </c>
      <c r="D33" s="23" t="s">
        <v>330</v>
      </c>
      <c r="E33" s="39"/>
      <c r="F33" s="39">
        <f>F29+F30+F31+F32</f>
        <v>96</v>
      </c>
      <c r="G33" s="3"/>
      <c r="O33" s="11"/>
      <c r="P33" s="11"/>
      <c r="Q33" s="11"/>
      <c r="R33" s="11"/>
      <c r="S33" s="11"/>
      <c r="T33" s="11"/>
    </row>
    <row r="34" spans="2:20" s="12" customFormat="1" ht="15.75" customHeight="1">
      <c r="B34" s="2"/>
      <c r="C34" s="41" t="s">
        <v>196</v>
      </c>
      <c r="D34" s="9" t="s">
        <v>331</v>
      </c>
      <c r="E34" s="39"/>
      <c r="F34" s="39">
        <f>F27-F33</f>
        <v>-96</v>
      </c>
      <c r="G34" s="3"/>
      <c r="O34" s="11"/>
      <c r="P34" s="11"/>
      <c r="Q34" s="11"/>
      <c r="R34" s="11"/>
      <c r="S34" s="11"/>
      <c r="T34" s="11"/>
    </row>
    <row r="35" spans="2:20" s="12" customFormat="1" ht="12.75">
      <c r="B35" s="2"/>
      <c r="C35" s="54" t="s">
        <v>294</v>
      </c>
      <c r="D35" s="55"/>
      <c r="E35" s="55"/>
      <c r="F35" s="56"/>
      <c r="G35" s="3"/>
      <c r="O35" s="11"/>
      <c r="P35" s="11"/>
      <c r="Q35" s="11"/>
      <c r="R35" s="11"/>
      <c r="S35" s="11"/>
      <c r="T35" s="11"/>
    </row>
    <row r="36" spans="2:20" s="12" customFormat="1" ht="12.75">
      <c r="B36" s="2"/>
      <c r="C36" s="41" t="s">
        <v>185</v>
      </c>
      <c r="D36" s="9" t="s">
        <v>321</v>
      </c>
      <c r="E36" s="39"/>
      <c r="F36" s="39"/>
      <c r="G36" s="3"/>
      <c r="O36" s="11"/>
      <c r="P36" s="11"/>
      <c r="Q36" s="11"/>
      <c r="R36" s="11"/>
      <c r="S36" s="11"/>
      <c r="T36" s="11"/>
    </row>
    <row r="37" spans="2:20" s="12" customFormat="1" ht="12.75">
      <c r="B37" s="2"/>
      <c r="C37" s="41" t="s">
        <v>197</v>
      </c>
      <c r="D37" s="23" t="s">
        <v>270</v>
      </c>
      <c r="E37" s="39"/>
      <c r="F37" s="39">
        <f>'Прогноз осн.пок-лей'!D24</f>
        <v>0</v>
      </c>
      <c r="G37" s="3"/>
      <c r="O37" s="11"/>
      <c r="P37" s="11"/>
      <c r="Q37" s="11"/>
      <c r="R37" s="11"/>
      <c r="S37" s="11"/>
      <c r="T37" s="11"/>
    </row>
    <row r="38" spans="2:20" s="12" customFormat="1" ht="12.75">
      <c r="B38" s="2"/>
      <c r="C38" s="41" t="s">
        <v>198</v>
      </c>
      <c r="D38" s="23" t="s">
        <v>332</v>
      </c>
      <c r="E38" s="39"/>
      <c r="F38" s="40">
        <v>0</v>
      </c>
      <c r="G38" s="3"/>
      <c r="O38" s="11"/>
      <c r="P38" s="11"/>
      <c r="Q38" s="11"/>
      <c r="R38" s="11"/>
      <c r="S38" s="11"/>
      <c r="T38" s="11"/>
    </row>
    <row r="39" spans="2:20" s="12" customFormat="1" ht="12.75">
      <c r="B39" s="2"/>
      <c r="C39" s="41" t="s">
        <v>350</v>
      </c>
      <c r="D39" s="23" t="s">
        <v>333</v>
      </c>
      <c r="E39" s="39"/>
      <c r="F39" s="39">
        <f>'Прогноз осн.пок-лей'!D27</f>
        <v>800000</v>
      </c>
      <c r="G39" s="3"/>
      <c r="O39" s="11"/>
      <c r="P39" s="11"/>
      <c r="Q39" s="11"/>
      <c r="R39" s="11"/>
      <c r="S39" s="11"/>
      <c r="T39" s="11"/>
    </row>
    <row r="40" spans="2:20" s="12" customFormat="1" ht="12.75">
      <c r="B40" s="2"/>
      <c r="C40" s="41" t="s">
        <v>315</v>
      </c>
      <c r="D40" s="23" t="s">
        <v>335</v>
      </c>
      <c r="E40" s="39"/>
      <c r="F40" s="40">
        <v>0</v>
      </c>
      <c r="G40" s="3"/>
      <c r="O40" s="11"/>
      <c r="P40" s="11"/>
      <c r="Q40" s="11"/>
      <c r="R40" s="11"/>
      <c r="S40" s="11"/>
      <c r="T40" s="11"/>
    </row>
    <row r="41" spans="2:20" s="12" customFormat="1" ht="12.75">
      <c r="B41" s="2"/>
      <c r="C41" s="41"/>
      <c r="D41" s="9" t="s">
        <v>334</v>
      </c>
      <c r="E41" s="39"/>
      <c r="F41" s="39">
        <f>SUM(F37:F40)</f>
        <v>800000</v>
      </c>
      <c r="G41" s="3"/>
      <c r="O41" s="11"/>
      <c r="P41" s="11"/>
      <c r="Q41" s="11"/>
      <c r="R41" s="11"/>
      <c r="S41" s="11"/>
      <c r="T41" s="11"/>
    </row>
    <row r="42" spans="2:20" s="12" customFormat="1" ht="12.75">
      <c r="B42" s="2"/>
      <c r="C42" s="41" t="s">
        <v>199</v>
      </c>
      <c r="D42" s="9" t="s">
        <v>300</v>
      </c>
      <c r="E42" s="39"/>
      <c r="F42" s="39"/>
      <c r="G42" s="3"/>
      <c r="O42" s="11"/>
      <c r="P42" s="11"/>
      <c r="Q42" s="11"/>
      <c r="R42" s="11"/>
      <c r="S42" s="11"/>
      <c r="T42" s="11"/>
    </row>
    <row r="43" spans="2:20" s="12" customFormat="1" ht="12.75">
      <c r="B43" s="2"/>
      <c r="C43" s="41" t="s">
        <v>316</v>
      </c>
      <c r="D43" s="23" t="s">
        <v>336</v>
      </c>
      <c r="E43" s="39"/>
      <c r="F43" s="39">
        <f>'Прогноз осн.пок-лей'!D29</f>
        <v>10000</v>
      </c>
      <c r="G43" s="3"/>
      <c r="O43" s="11"/>
      <c r="P43" s="11"/>
      <c r="Q43" s="11"/>
      <c r="R43" s="11"/>
      <c r="S43" s="11"/>
      <c r="T43" s="11"/>
    </row>
    <row r="44" spans="2:20" s="12" customFormat="1" ht="12.75">
      <c r="B44" s="2"/>
      <c r="C44" s="41" t="s">
        <v>317</v>
      </c>
      <c r="D44" s="23" t="s">
        <v>337</v>
      </c>
      <c r="E44" s="39"/>
      <c r="F44" s="39">
        <f>('Ф1'!F69+'Ф1'!F70+'Прогноз осн.пок-лей'!D25-'Прогноз осн.пок-лей'!D29)*'Прогноз осн.пок-лей'!D26</f>
        <v>19280</v>
      </c>
      <c r="G44" s="3"/>
      <c r="O44" s="11"/>
      <c r="P44" s="11"/>
      <c r="Q44" s="11"/>
      <c r="R44" s="11"/>
      <c r="S44" s="11"/>
      <c r="T44" s="11"/>
    </row>
    <row r="45" spans="2:20" s="12" customFormat="1" ht="12.75">
      <c r="B45" s="2"/>
      <c r="C45" s="41" t="s">
        <v>318</v>
      </c>
      <c r="D45" s="23" t="s">
        <v>338</v>
      </c>
      <c r="E45" s="39"/>
      <c r="F45" s="39">
        <f>'Прогноз осн.пок-лей'!D30</f>
        <v>300000</v>
      </c>
      <c r="G45" s="3"/>
      <c r="O45" s="11"/>
      <c r="P45" s="11"/>
      <c r="Q45" s="11"/>
      <c r="R45" s="11"/>
      <c r="S45" s="11"/>
      <c r="T45" s="11"/>
    </row>
    <row r="46" spans="2:20" s="12" customFormat="1" ht="12.75">
      <c r="B46" s="2"/>
      <c r="C46" s="41" t="s">
        <v>319</v>
      </c>
      <c r="D46" s="23" t="s">
        <v>339</v>
      </c>
      <c r="E46" s="39"/>
      <c r="F46" s="40">
        <v>0</v>
      </c>
      <c r="G46" s="3"/>
      <c r="O46" s="11"/>
      <c r="P46" s="11"/>
      <c r="Q46" s="11"/>
      <c r="R46" s="11"/>
      <c r="S46" s="11"/>
      <c r="T46" s="11"/>
    </row>
    <row r="47" spans="2:20" s="12" customFormat="1" ht="12.75">
      <c r="B47" s="2"/>
      <c r="C47" s="41" t="s">
        <v>320</v>
      </c>
      <c r="D47" s="23" t="s">
        <v>340</v>
      </c>
      <c r="E47" s="39"/>
      <c r="F47" s="40">
        <v>0</v>
      </c>
      <c r="G47" s="3"/>
      <c r="O47" s="11"/>
      <c r="P47" s="11"/>
      <c r="Q47" s="11"/>
      <c r="R47" s="11"/>
      <c r="S47" s="11"/>
      <c r="T47" s="11"/>
    </row>
    <row r="48" spans="2:20" s="12" customFormat="1" ht="12.75">
      <c r="B48" s="2"/>
      <c r="C48" s="41"/>
      <c r="D48" s="9" t="s">
        <v>341</v>
      </c>
      <c r="E48" s="39"/>
      <c r="F48" s="39">
        <f>SUM(F43:F47)</f>
        <v>329280</v>
      </c>
      <c r="G48" s="3"/>
      <c r="O48" s="11"/>
      <c r="P48" s="11"/>
      <c r="Q48" s="11"/>
      <c r="R48" s="11"/>
      <c r="S48" s="11"/>
      <c r="T48" s="11"/>
    </row>
    <row r="49" spans="2:20" s="12" customFormat="1" ht="12.75">
      <c r="B49" s="2"/>
      <c r="C49" s="41" t="s">
        <v>200</v>
      </c>
      <c r="D49" s="9" t="s">
        <v>342</v>
      </c>
      <c r="E49" s="39"/>
      <c r="F49" s="39">
        <f>F41-F48</f>
        <v>470720</v>
      </c>
      <c r="G49" s="3"/>
      <c r="O49" s="11"/>
      <c r="P49" s="11"/>
      <c r="Q49" s="11"/>
      <c r="R49" s="11"/>
      <c r="S49" s="11"/>
      <c r="T49" s="11"/>
    </row>
    <row r="50" spans="2:20" s="12" customFormat="1" ht="12.75">
      <c r="B50" s="2"/>
      <c r="C50" s="41" t="s">
        <v>201</v>
      </c>
      <c r="D50" s="9" t="s">
        <v>343</v>
      </c>
      <c r="E50" s="39"/>
      <c r="F50" s="39">
        <f>F11+F27+F41</f>
        <v>1968502.8620156457</v>
      </c>
      <c r="G50" s="3"/>
      <c r="O50" s="11"/>
      <c r="P50" s="11"/>
      <c r="Q50" s="11"/>
      <c r="R50" s="11"/>
      <c r="S50" s="11"/>
      <c r="T50" s="11"/>
    </row>
    <row r="51" spans="2:20" s="12" customFormat="1" ht="12.75">
      <c r="B51" s="2"/>
      <c r="C51" s="41" t="s">
        <v>202</v>
      </c>
      <c r="D51" s="9" t="s">
        <v>344</v>
      </c>
      <c r="E51" s="39"/>
      <c r="F51" s="39">
        <f>F20+F33+F48</f>
        <v>1298393.34010488</v>
      </c>
      <c r="G51" s="3"/>
      <c r="O51" s="11"/>
      <c r="P51" s="11"/>
      <c r="Q51" s="11"/>
      <c r="R51" s="11"/>
      <c r="S51" s="11"/>
      <c r="T51" s="11"/>
    </row>
    <row r="52" spans="2:20" s="12" customFormat="1" ht="12.75">
      <c r="B52" s="2"/>
      <c r="C52" s="41" t="s">
        <v>203</v>
      </c>
      <c r="D52" s="9" t="s">
        <v>345</v>
      </c>
      <c r="E52" s="39"/>
      <c r="F52" s="39">
        <f>F50-F51</f>
        <v>670109.5219107657</v>
      </c>
      <c r="G52" s="3"/>
      <c r="O52" s="11"/>
      <c r="P52" s="11"/>
      <c r="Q52" s="11"/>
      <c r="R52" s="11"/>
      <c r="S52" s="11"/>
      <c r="T52" s="11"/>
    </row>
    <row r="53" spans="2:20" s="12" customFormat="1" ht="12.75">
      <c r="B53" s="2"/>
      <c r="C53" s="41" t="s">
        <v>204</v>
      </c>
      <c r="D53" s="9" t="s">
        <v>346</v>
      </c>
      <c r="E53" s="39">
        <f>'Ф1'!F50</f>
        <v>6500</v>
      </c>
      <c r="F53" s="39">
        <f>E53+F52</f>
        <v>676609.5219107657</v>
      </c>
      <c r="G53" s="3"/>
      <c r="O53" s="11"/>
      <c r="P53" s="11"/>
      <c r="Q53" s="11"/>
      <c r="R53" s="11"/>
      <c r="S53" s="11"/>
      <c r="T53" s="11"/>
    </row>
    <row r="54" spans="2:7" ht="12" customHeight="1" thickBot="1">
      <c r="B54" s="4"/>
      <c r="C54" s="21"/>
      <c r="D54" s="21"/>
      <c r="E54" s="21"/>
      <c r="F54" s="21"/>
      <c r="G54" s="22"/>
    </row>
  </sheetData>
  <sheetProtection/>
  <mergeCells count="4">
    <mergeCell ref="C22:F22"/>
    <mergeCell ref="C35:F35"/>
    <mergeCell ref="C3:F3"/>
    <mergeCell ref="C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0" r:id="rId1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7" min="1" max="2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B1:AJ35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3.125" style="1" customWidth="1"/>
    <col min="2" max="2" width="3.25390625" style="1" customWidth="1"/>
    <col min="3" max="3" width="61.25390625" style="13" customWidth="1"/>
    <col min="4" max="4" width="15.625" style="14" customWidth="1"/>
    <col min="5" max="5" width="3.00390625" style="1" customWidth="1"/>
    <col min="6" max="6" width="8.00390625" style="1" bestFit="1" customWidth="1"/>
    <col min="7" max="7" width="2.75390625" style="1" customWidth="1"/>
    <col min="8" max="8" width="6.625" style="1" bestFit="1" customWidth="1"/>
    <col min="9" max="9" width="2.75390625" style="1" customWidth="1"/>
    <col min="10" max="10" width="6.625" style="1" bestFit="1" customWidth="1"/>
    <col min="11" max="12" width="2.75390625" style="1" customWidth="1"/>
    <col min="13" max="17" width="3.25390625" style="1" bestFit="1" customWidth="1"/>
    <col min="18" max="18" width="4.75390625" style="1" bestFit="1" customWidth="1"/>
    <col min="19" max="16384" width="2.75390625" style="1" customWidth="1"/>
  </cols>
  <sheetData>
    <row r="1" spans="2:11" ht="15" customHeight="1" thickBot="1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</row>
    <row r="2" spans="2:36" ht="11.25" customHeight="1">
      <c r="B2" s="15"/>
      <c r="C2" s="16"/>
      <c r="D2" s="16"/>
      <c r="E2" s="1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2:36" ht="18">
      <c r="B3" s="18"/>
      <c r="C3" s="53" t="s">
        <v>261</v>
      </c>
      <c r="D3" s="53"/>
      <c r="E3" s="19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2:36" ht="12.75" customHeight="1">
      <c r="B4" s="18"/>
      <c r="C4" s="7"/>
      <c r="D4" s="7"/>
      <c r="E4" s="19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2:36" ht="14.25" customHeight="1">
      <c r="B5" s="20"/>
      <c r="C5" s="60" t="s">
        <v>178</v>
      </c>
      <c r="D5" s="64" t="s">
        <v>262</v>
      </c>
      <c r="E5" s="19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2:36" ht="14.25">
      <c r="B6" s="20"/>
      <c r="C6" s="60"/>
      <c r="D6" s="64"/>
      <c r="E6" s="19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2:18" s="12" customFormat="1" ht="12.75">
      <c r="B7" s="2"/>
      <c r="C7" s="9" t="s">
        <v>281</v>
      </c>
      <c r="D7" s="49">
        <v>0.15</v>
      </c>
      <c r="E7" s="3"/>
      <c r="M7" s="11"/>
      <c r="N7" s="11"/>
      <c r="O7" s="11"/>
      <c r="P7" s="11"/>
      <c r="Q7" s="11"/>
      <c r="R7" s="11"/>
    </row>
    <row r="8" spans="2:18" s="12" customFormat="1" ht="12.75">
      <c r="B8" s="2"/>
      <c r="C8" s="9" t="s">
        <v>282</v>
      </c>
      <c r="D8" s="49">
        <v>0.2</v>
      </c>
      <c r="E8" s="3"/>
      <c r="M8" s="11"/>
      <c r="N8" s="11"/>
      <c r="O8" s="11"/>
      <c r="P8" s="11"/>
      <c r="Q8" s="11"/>
      <c r="R8" s="11"/>
    </row>
    <row r="9" spans="2:18" s="12" customFormat="1" ht="12.75">
      <c r="B9" s="2"/>
      <c r="C9" s="9" t="s">
        <v>283</v>
      </c>
      <c r="D9" s="49">
        <v>0.2</v>
      </c>
      <c r="E9" s="3"/>
      <c r="M9" s="11"/>
      <c r="N9" s="11"/>
      <c r="O9" s="11"/>
      <c r="P9" s="11"/>
      <c r="Q9" s="11"/>
      <c r="R9" s="11"/>
    </row>
    <row r="10" spans="2:18" s="12" customFormat="1" ht="12.75">
      <c r="B10" s="2"/>
      <c r="C10" s="9" t="s">
        <v>284</v>
      </c>
      <c r="D10" s="49">
        <v>0.02</v>
      </c>
      <c r="E10" s="3"/>
      <c r="M10" s="11"/>
      <c r="N10" s="11"/>
      <c r="O10" s="11"/>
      <c r="P10" s="11"/>
      <c r="Q10" s="11"/>
      <c r="R10" s="11"/>
    </row>
    <row r="11" spans="2:18" s="12" customFormat="1" ht="12.75">
      <c r="B11" s="2"/>
      <c r="C11" s="9" t="s">
        <v>285</v>
      </c>
      <c r="D11" s="49">
        <v>0</v>
      </c>
      <c r="E11" s="3"/>
      <c r="M11" s="11"/>
      <c r="N11" s="11"/>
      <c r="O11" s="11"/>
      <c r="P11" s="11"/>
      <c r="Q11" s="11"/>
      <c r="R11" s="11"/>
    </row>
    <row r="12" spans="2:18" s="12" customFormat="1" ht="12.75">
      <c r="B12" s="2"/>
      <c r="C12" s="9" t="s">
        <v>286</v>
      </c>
      <c r="D12" s="24">
        <v>360</v>
      </c>
      <c r="E12" s="3"/>
      <c r="M12" s="11"/>
      <c r="N12" s="11"/>
      <c r="O12" s="11"/>
      <c r="P12" s="11"/>
      <c r="Q12" s="11"/>
      <c r="R12" s="11"/>
    </row>
    <row r="13" spans="2:18" s="12" customFormat="1" ht="25.5">
      <c r="B13" s="2"/>
      <c r="C13" s="9" t="s">
        <v>287</v>
      </c>
      <c r="D13" s="49">
        <v>0.08</v>
      </c>
      <c r="E13" s="3"/>
      <c r="M13" s="11"/>
      <c r="N13" s="11"/>
      <c r="O13" s="11"/>
      <c r="P13" s="11"/>
      <c r="Q13" s="11"/>
      <c r="R13" s="11"/>
    </row>
    <row r="14" spans="2:18" s="12" customFormat="1" ht="25.5">
      <c r="B14" s="2"/>
      <c r="C14" s="9" t="s">
        <v>288</v>
      </c>
      <c r="D14" s="49">
        <v>0.08</v>
      </c>
      <c r="E14" s="3"/>
      <c r="M14" s="11"/>
      <c r="N14" s="11"/>
      <c r="O14" s="11"/>
      <c r="P14" s="11"/>
      <c r="Q14" s="11"/>
      <c r="R14" s="11"/>
    </row>
    <row r="15" spans="2:18" s="12" customFormat="1" ht="25.5">
      <c r="B15" s="2"/>
      <c r="C15" s="9" t="s">
        <v>289</v>
      </c>
      <c r="D15" s="10">
        <f>'Расчет ЧОП'!E27</f>
        <v>0</v>
      </c>
      <c r="E15" s="3"/>
      <c r="M15" s="11"/>
      <c r="N15" s="11"/>
      <c r="O15" s="11"/>
      <c r="P15" s="11"/>
      <c r="Q15" s="11"/>
      <c r="R15" s="11"/>
    </row>
    <row r="16" spans="2:18" s="12" customFormat="1" ht="12.75">
      <c r="B16" s="2"/>
      <c r="C16" s="9" t="s">
        <v>290</v>
      </c>
      <c r="D16" s="51">
        <f>'Расчет ЧОП'!E28</f>
        <v>1</v>
      </c>
      <c r="E16" s="3"/>
      <c r="M16" s="11"/>
      <c r="N16" s="11"/>
      <c r="O16" s="11"/>
      <c r="P16" s="11"/>
      <c r="Q16" s="11"/>
      <c r="R16" s="11"/>
    </row>
    <row r="17" spans="2:18" s="12" customFormat="1" ht="12.75">
      <c r="B17" s="2"/>
      <c r="C17" s="9" t="s">
        <v>263</v>
      </c>
      <c r="D17" s="49">
        <v>0.25</v>
      </c>
      <c r="E17" s="3"/>
      <c r="M17" s="11"/>
      <c r="N17" s="11"/>
      <c r="O17" s="11"/>
      <c r="P17" s="11"/>
      <c r="Q17" s="11"/>
      <c r="R17" s="11"/>
    </row>
    <row r="18" spans="2:18" s="12" customFormat="1" ht="25.5">
      <c r="B18" s="2"/>
      <c r="C18" s="9" t="s">
        <v>264</v>
      </c>
      <c r="D18" s="39">
        <f>'Расчет ЧОП'!E31</f>
        <v>26.526315789473685</v>
      </c>
      <c r="E18" s="3"/>
      <c r="M18" s="11"/>
      <c r="N18" s="11"/>
      <c r="O18" s="11"/>
      <c r="P18" s="11"/>
      <c r="Q18" s="11"/>
      <c r="R18" s="11"/>
    </row>
    <row r="19" spans="2:18" s="12" customFormat="1" ht="25.5">
      <c r="B19" s="2"/>
      <c r="C19" s="9" t="s">
        <v>265</v>
      </c>
      <c r="D19" s="39">
        <f>'Расчет ЧОП'!E39</f>
        <v>139.16344186046513</v>
      </c>
      <c r="E19" s="3"/>
      <c r="M19" s="11"/>
      <c r="N19" s="11"/>
      <c r="O19" s="11"/>
      <c r="P19" s="11"/>
      <c r="Q19" s="11"/>
      <c r="R19" s="11"/>
    </row>
    <row r="20" spans="2:18" s="12" customFormat="1" ht="38.25">
      <c r="B20" s="2"/>
      <c r="C20" s="9" t="s">
        <v>266</v>
      </c>
      <c r="D20" s="39">
        <f>'Расчет ЧОП'!E42</f>
        <v>0</v>
      </c>
      <c r="E20" s="3"/>
      <c r="M20" s="11"/>
      <c r="N20" s="11"/>
      <c r="O20" s="11"/>
      <c r="P20" s="11"/>
      <c r="Q20" s="11"/>
      <c r="R20" s="11"/>
    </row>
    <row r="21" spans="2:18" s="12" customFormat="1" ht="25.5">
      <c r="B21" s="2"/>
      <c r="C21" s="9" t="s">
        <v>267</v>
      </c>
      <c r="D21" s="49">
        <v>0.3</v>
      </c>
      <c r="E21" s="3"/>
      <c r="M21" s="11"/>
      <c r="N21" s="11"/>
      <c r="O21" s="11"/>
      <c r="P21" s="11"/>
      <c r="Q21" s="11"/>
      <c r="R21" s="11"/>
    </row>
    <row r="22" spans="2:18" s="12" customFormat="1" ht="12.75">
      <c r="B22" s="2"/>
      <c r="C22" s="9" t="s">
        <v>268</v>
      </c>
      <c r="D22" s="39">
        <f>'Ф1-прогноз'!F11-'Ф1-прогноз'!E11</f>
        <v>10.002285714285712</v>
      </c>
      <c r="E22" s="3"/>
      <c r="M22" s="11"/>
      <c r="N22" s="11"/>
      <c r="O22" s="11"/>
      <c r="P22" s="11"/>
      <c r="Q22" s="11"/>
      <c r="R22" s="11"/>
    </row>
    <row r="23" spans="2:18" s="12" customFormat="1" ht="12.75">
      <c r="B23" s="2"/>
      <c r="C23" s="9" t="s">
        <v>269</v>
      </c>
      <c r="D23" s="24">
        <v>80</v>
      </c>
      <c r="E23" s="3"/>
      <c r="M23" s="11"/>
      <c r="N23" s="11"/>
      <c r="O23" s="11"/>
      <c r="P23" s="11"/>
      <c r="Q23" s="11"/>
      <c r="R23" s="11"/>
    </row>
    <row r="24" spans="2:18" s="12" customFormat="1" ht="12.75">
      <c r="B24" s="2"/>
      <c r="C24" s="9" t="s">
        <v>270</v>
      </c>
      <c r="D24" s="24">
        <v>0</v>
      </c>
      <c r="E24" s="3"/>
      <c r="M24" s="11"/>
      <c r="N24" s="11"/>
      <c r="O24" s="11"/>
      <c r="P24" s="11"/>
      <c r="Q24" s="11"/>
      <c r="R24" s="11"/>
    </row>
    <row r="25" spans="2:18" s="12" customFormat="1" ht="12.75">
      <c r="B25" s="2"/>
      <c r="C25" s="9" t="s">
        <v>271</v>
      </c>
      <c r="D25" s="24">
        <v>200000</v>
      </c>
      <c r="E25" s="3"/>
      <c r="M25" s="11"/>
      <c r="N25" s="11"/>
      <c r="O25" s="11"/>
      <c r="P25" s="11"/>
      <c r="Q25" s="11"/>
      <c r="R25" s="11"/>
    </row>
    <row r="26" spans="2:18" s="12" customFormat="1" ht="12.75">
      <c r="B26" s="2"/>
      <c r="C26" s="9" t="s">
        <v>272</v>
      </c>
      <c r="D26" s="49">
        <v>0.1</v>
      </c>
      <c r="E26" s="3"/>
      <c r="M26" s="11"/>
      <c r="N26" s="11"/>
      <c r="O26" s="11"/>
      <c r="P26" s="11"/>
      <c r="Q26" s="11"/>
      <c r="R26" s="11"/>
    </row>
    <row r="27" spans="2:18" s="12" customFormat="1" ht="12.75">
      <c r="B27" s="2"/>
      <c r="C27" s="9" t="s">
        <v>273</v>
      </c>
      <c r="D27" s="24">
        <v>800000</v>
      </c>
      <c r="E27" s="3"/>
      <c r="M27" s="11"/>
      <c r="N27" s="11"/>
      <c r="O27" s="11"/>
      <c r="P27" s="11"/>
      <c r="Q27" s="11"/>
      <c r="R27" s="11"/>
    </row>
    <row r="28" spans="2:18" s="12" customFormat="1" ht="12.75">
      <c r="B28" s="2"/>
      <c r="C28" s="9" t="s">
        <v>274</v>
      </c>
      <c r="D28" s="49">
        <v>0.14</v>
      </c>
      <c r="E28" s="3"/>
      <c r="M28" s="11"/>
      <c r="N28" s="11"/>
      <c r="O28" s="11"/>
      <c r="P28" s="11"/>
      <c r="Q28" s="11"/>
      <c r="R28" s="11"/>
    </row>
    <row r="29" spans="2:18" s="12" customFormat="1" ht="12.75">
      <c r="B29" s="2"/>
      <c r="C29" s="9" t="s">
        <v>275</v>
      </c>
      <c r="D29" s="24">
        <v>10000</v>
      </c>
      <c r="E29" s="3"/>
      <c r="M29" s="11"/>
      <c r="N29" s="11"/>
      <c r="O29" s="11"/>
      <c r="P29" s="11"/>
      <c r="Q29" s="11"/>
      <c r="R29" s="11"/>
    </row>
    <row r="30" spans="2:18" s="12" customFormat="1" ht="12.75">
      <c r="B30" s="2"/>
      <c r="C30" s="9" t="s">
        <v>276</v>
      </c>
      <c r="D30" s="24">
        <v>300000</v>
      </c>
      <c r="E30" s="3"/>
      <c r="M30" s="11"/>
      <c r="N30" s="11"/>
      <c r="O30" s="11"/>
      <c r="P30" s="11"/>
      <c r="Q30" s="11"/>
      <c r="R30" s="11"/>
    </row>
    <row r="31" spans="2:18" s="12" customFormat="1" ht="12.75">
      <c r="B31" s="2"/>
      <c r="C31" s="9" t="s">
        <v>277</v>
      </c>
      <c r="D31" s="51">
        <f>('Ф1'!F11-'Ф1'!E11)/'Ф1'!F10</f>
        <v>2.857142857142857E-05</v>
      </c>
      <c r="E31" s="3"/>
      <c r="M31" s="11"/>
      <c r="N31" s="11"/>
      <c r="O31" s="11"/>
      <c r="P31" s="11"/>
      <c r="Q31" s="11"/>
      <c r="R31" s="11"/>
    </row>
    <row r="32" spans="2:18" s="12" customFormat="1" ht="12.75">
      <c r="B32" s="2"/>
      <c r="C32" s="9" t="s">
        <v>278</v>
      </c>
      <c r="D32" s="24"/>
      <c r="E32" s="3"/>
      <c r="M32" s="11"/>
      <c r="N32" s="11"/>
      <c r="O32" s="11"/>
      <c r="P32" s="11"/>
      <c r="Q32" s="11"/>
      <c r="R32" s="11"/>
    </row>
    <row r="33" spans="2:18" s="12" customFormat="1" ht="12.75">
      <c r="B33" s="2"/>
      <c r="C33" s="9" t="s">
        <v>176</v>
      </c>
      <c r="D33" s="49">
        <v>0.05</v>
      </c>
      <c r="E33" s="3"/>
      <c r="M33" s="11"/>
      <c r="N33" s="11"/>
      <c r="O33" s="11"/>
      <c r="P33" s="11"/>
      <c r="Q33" s="11"/>
      <c r="R33" s="11"/>
    </row>
    <row r="34" spans="2:18" s="12" customFormat="1" ht="12.75">
      <c r="B34" s="2"/>
      <c r="C34" s="9" t="s">
        <v>177</v>
      </c>
      <c r="D34" s="51">
        <f>1-D33</f>
        <v>0.95</v>
      </c>
      <c r="E34" s="3"/>
      <c r="M34" s="11"/>
      <c r="N34" s="11"/>
      <c r="O34" s="11"/>
      <c r="P34" s="11"/>
      <c r="Q34" s="11"/>
      <c r="R34" s="11"/>
    </row>
    <row r="35" spans="2:5" ht="11.25" thickBot="1">
      <c r="B35" s="4"/>
      <c r="C35" s="21"/>
      <c r="D35" s="21"/>
      <c r="E35" s="22"/>
    </row>
  </sheetData>
  <sheetProtection/>
  <mergeCells count="3">
    <mergeCell ref="C3:D3"/>
    <mergeCell ref="C5:C6"/>
    <mergeCell ref="D5:D6"/>
  </mergeCells>
  <printOptions/>
  <pageMargins left="0.7" right="0.7" top="0.75" bottom="0.75" header="0.3" footer="0.3"/>
  <pageSetup horizontalDpi="300" verticalDpi="300" orientation="portrait" paperSize="9" scale="93" r:id="rId1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5" min="1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2011-02-12T15:42:43Z</cp:lastPrinted>
  <dcterms:created xsi:type="dcterms:W3CDTF">2004-01-26T15:28:24Z</dcterms:created>
  <dcterms:modified xsi:type="dcterms:W3CDTF">2021-03-17T10:20:52Z</dcterms:modified>
  <cp:category/>
  <cp:version/>
  <cp:contentType/>
  <cp:contentStatus/>
</cp:coreProperties>
</file>