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18780" windowHeight="6000" tabRatio="913" activeTab="0"/>
  </bookViews>
  <sheets>
    <sheet name="Динамика осн. пок-лей" sheetId="1" r:id="rId1"/>
    <sheet name="Динамика издержек" sheetId="2" r:id="rId2"/>
    <sheet name="А-з состава и стр-ры издержек" sheetId="3" r:id="rId3"/>
    <sheet name="А-з издержек по эк. эл-там" sheetId="4" r:id="rId4"/>
    <sheet name="Влияние динамики т-оборота" sheetId="5" r:id="rId5"/>
    <sheet name="Влияние стр-ры т-оборота" sheetId="6" r:id="rId6"/>
    <sheet name="Влияние товарных запасов" sheetId="7" r:id="rId7"/>
    <sheet name="Обобщение влияния ф-ров" sheetId="8" r:id="rId8"/>
    <sheet name="А-з пок-лей по труду и ЗП" sheetId="9" r:id="rId9"/>
    <sheet name="Влияние пок-лей по труду и ЗП" sheetId="10" r:id="rId10"/>
    <sheet name="Влияние выработки и СЗП" sheetId="11" r:id="rId11"/>
  </sheets>
  <definedNames>
    <definedName name="_xlnm.Print_Area" localSheetId="3">'А-з издержек по эк. эл-там'!$B$2:$R$15</definedName>
    <definedName name="_xlnm.Print_Area" localSheetId="8">'А-з пок-лей по труду и ЗП'!$B$2:$M$23</definedName>
    <definedName name="_xlnm.Print_Area" localSheetId="2">'А-з состава и стр-ры издержек'!$B$2:$S$28</definedName>
    <definedName name="_xlnm.Print_Area" localSheetId="10">'Влияние выработки и СЗП'!$B$2:$I$11</definedName>
    <definedName name="_xlnm.Print_Area" localSheetId="4">'Влияние динамики т-оборота'!$B$2:$K$24</definedName>
    <definedName name="_xlnm.Print_Area" localSheetId="9">'Влияние пок-лей по труду и ЗП'!$B$2:$F$9</definedName>
    <definedName name="_xlnm.Print_Area" localSheetId="5">'Влияние стр-ры т-оборота'!$B$2:$K$10</definedName>
    <definedName name="_xlnm.Print_Area" localSheetId="6">'Влияние товарных запасов'!$B$2:$M$11</definedName>
    <definedName name="_xlnm.Print_Area" localSheetId="1">'Динамика издержек'!$B$2:$M$27</definedName>
    <definedName name="_xlnm.Print_Area" localSheetId="0">'Динамика осн. пок-лей'!$B$2:$L$25</definedName>
    <definedName name="_xlnm.Print_Area" localSheetId="7">'Обобщение влияния ф-ров'!$B$2:$G$20</definedName>
  </definedNames>
  <calcPr fullCalcOnLoad="1"/>
</workbook>
</file>

<file path=xl/comments11.xml><?xml version="1.0" encoding="utf-8"?>
<comments xmlns="http://schemas.openxmlformats.org/spreadsheetml/2006/main">
  <authors>
    <author>Краснянский Евгений</author>
  </authors>
  <commentList>
    <comment ref="E8" authorId="0">
      <text>
        <r>
          <rPr>
            <b/>
            <sz val="8"/>
            <rFont val="Tahoma"/>
            <family val="0"/>
          </rPr>
          <t>прошлый период</t>
        </r>
      </text>
    </comment>
    <comment ref="F8" authorId="0">
      <text>
        <r>
          <rPr>
            <b/>
            <sz val="8"/>
            <rFont val="Tahoma"/>
            <family val="0"/>
          </rPr>
          <t>отчетный период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отчетный период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отчетный период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отчетный период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отчетный период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прошлый период</t>
        </r>
      </text>
    </comment>
    <comment ref="F9" authorId="0">
      <text>
        <r>
          <rPr>
            <b/>
            <sz val="8"/>
            <rFont val="Tahoma"/>
            <family val="0"/>
          </rPr>
          <t>прошлый период</t>
        </r>
      </text>
    </comment>
    <comment ref="H10" authorId="0">
      <text>
        <r>
          <rPr>
            <b/>
            <sz val="8"/>
            <rFont val="Tahoma"/>
            <family val="0"/>
          </rPr>
          <t>отчетный период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прошлый период</t>
        </r>
      </text>
    </comment>
    <comment ref="F10" authorId="0">
      <text>
        <r>
          <rPr>
            <b/>
            <sz val="8"/>
            <rFont val="Tahoma"/>
            <family val="0"/>
          </rPr>
          <t>прошлый период</t>
        </r>
      </text>
    </comment>
    <comment ref="G10" authorId="0">
      <text>
        <r>
          <rPr>
            <b/>
            <sz val="8"/>
            <rFont val="Tahoma"/>
            <family val="0"/>
          </rPr>
          <t>прошлый период</t>
        </r>
      </text>
    </comment>
    <comment ref="E11" authorId="0">
      <text>
        <r>
          <rPr>
            <b/>
            <sz val="8"/>
            <rFont val="Tahoma"/>
            <family val="0"/>
          </rPr>
          <t>пересчитанная</t>
        </r>
      </text>
    </comment>
    <comment ref="F11" authorId="0">
      <text>
        <r>
          <rPr>
            <b/>
            <sz val="8"/>
            <rFont val="Tahoma"/>
            <family val="0"/>
          </rPr>
          <t>пересчитанная</t>
        </r>
      </text>
    </comment>
    <comment ref="G11" authorId="0">
      <text>
        <r>
          <rPr>
            <b/>
            <sz val="8"/>
            <rFont val="Tahoma"/>
            <family val="0"/>
          </rPr>
          <t>пересчитанная</t>
        </r>
      </text>
    </comment>
    <comment ref="H11" authorId="0">
      <text>
        <r>
          <rPr>
            <b/>
            <sz val="8"/>
            <rFont val="Tahoma"/>
            <family val="0"/>
          </rPr>
          <t>пересчитанная</t>
        </r>
      </text>
    </comment>
  </commentList>
</comments>
</file>

<file path=xl/comments5.xml><?xml version="1.0" encoding="utf-8"?>
<comments xmlns="http://schemas.openxmlformats.org/spreadsheetml/2006/main">
  <authors>
    <author>Краснянский Евгений</author>
  </authors>
  <commentList>
    <comment ref="K2" authorId="0">
      <text>
        <r>
          <rPr>
            <sz val="8"/>
            <rFont val="Tahoma"/>
            <family val="2"/>
          </rPr>
          <t xml:space="preserve">     По степени зависимости отдельных статей издержек обращения от степени выполнения плана розничного товарооборота их подразделяют на условно-переменные и условно-постоянные расходы. 
     К условно-переменным расходам относятся </t>
        </r>
        <r>
          <rPr>
            <u val="single"/>
            <sz val="8"/>
            <rFont val="Tahoma"/>
            <family val="2"/>
          </rPr>
          <t>транспортные расходы, расходы на оплату труда, подработку, подсортировку, упаковку и хранение товаров, проценты за пользование кредитами и займами, потери товаров при перевозке, хранении и реализации в пределах норм, расходы на тару, налоги, отчисления и сборы, включаемые в издержки обращения, а также некоторые суммы по статьям «Прочие нормируемые затраты, включаемые в издержки обращения (производства)» и «Прочие расходы»</t>
        </r>
        <r>
          <rPr>
            <sz val="8"/>
            <rFont val="Tahoma"/>
            <family val="2"/>
          </rPr>
          <t xml:space="preserve">. С ростом объема товарооборота пропорционально увеличиваются суммы условно-переменных расходов.
        В состав условно-постоянных издержек обращения включают </t>
        </r>
        <r>
          <rPr>
            <u val="single"/>
            <sz val="8"/>
            <rFont val="Tahoma"/>
            <family val="2"/>
          </rPr>
          <t>расходы на аренду, содержание, амортизацию и ремонт основных средств, расходы на обеспечение условий труда персонала, затраты на управление и функционирование организации</t>
        </r>
        <r>
          <rPr>
            <sz val="8"/>
            <rFont val="Tahoma"/>
            <family val="2"/>
          </rPr>
          <t>. При увеличении объема розничного товарооборота их суммы остаются неизменными либо незначительно изменяются.</t>
        </r>
      </text>
    </comment>
  </commentList>
</comments>
</file>

<file path=xl/comments6.xml><?xml version="1.0" encoding="utf-8"?>
<comments xmlns="http://schemas.openxmlformats.org/spreadsheetml/2006/main">
  <authors>
    <author>Краснянский Евгений</author>
  </authors>
  <commentList>
    <comment ref="K2" authorId="0">
      <text>
        <r>
          <rPr>
            <sz val="8"/>
            <rFont val="Tahoma"/>
            <family val="2"/>
          </rPr>
          <t xml:space="preserve">     По степени зависимости отдельных статей издержек обращения от степени выполнения плана розничного товарооборота их подразделяют на условно-переменные и условно-постоянные расходы. 
     К условно-переменным расходам относятся </t>
        </r>
        <r>
          <rPr>
            <u val="single"/>
            <sz val="8"/>
            <rFont val="Tahoma"/>
            <family val="2"/>
          </rPr>
          <t>транспортные расходы, расходы на оплату труда, подработку, подсортировку, упаковку и хранение товаров, проценты за пользование кредитами и займами, потери товаров при перевозке, хранении и реализации в пределах норм, расходы на тару, налоги, отчисления и сборы, включаемые в издержки обращения, а также некоторые суммы по статьям «Прочие нормируемые затраты, включаемые в издержки обращения (производства)» и «Прочие расходы»</t>
        </r>
        <r>
          <rPr>
            <sz val="8"/>
            <rFont val="Tahoma"/>
            <family val="2"/>
          </rPr>
          <t xml:space="preserve">. С ростом объема товарооборота пропорционально увеличиваются суммы условно-переменных расходов.
        В состав условно-постоянных издержек обращения включают </t>
        </r>
        <r>
          <rPr>
            <u val="single"/>
            <sz val="8"/>
            <rFont val="Tahoma"/>
            <family val="2"/>
          </rPr>
          <t>расходы на аренду, содержание, амортизацию и ремонт основных средств, расходы на обеспечение условий труда персонала, затраты на управление и функционирование организации</t>
        </r>
        <r>
          <rPr>
            <sz val="8"/>
            <rFont val="Tahoma"/>
            <family val="2"/>
          </rPr>
          <t>. При увеличении объема розничного товарооборота их суммы остаются неизменными либо незначительно изменяются.</t>
        </r>
      </text>
    </comment>
  </commentList>
</comments>
</file>

<file path=xl/sharedStrings.xml><?xml version="1.0" encoding="utf-8"?>
<sst xmlns="http://schemas.openxmlformats.org/spreadsheetml/2006/main" count="449" uniqueCount="179">
  <si>
    <t>№ п/п</t>
  </si>
  <si>
    <t>3</t>
  </si>
  <si>
    <t>4</t>
  </si>
  <si>
    <t>2</t>
  </si>
  <si>
    <t>5</t>
  </si>
  <si>
    <t>6</t>
  </si>
  <si>
    <t>7</t>
  </si>
  <si>
    <t>Синий цвет цифр обозначает, что заполнение данных ячеек происходит автоматически.</t>
  </si>
  <si>
    <t>1</t>
  </si>
  <si>
    <t>1.1</t>
  </si>
  <si>
    <t>1.2</t>
  </si>
  <si>
    <t>8</t>
  </si>
  <si>
    <t>9</t>
  </si>
  <si>
    <t>Показатель</t>
  </si>
  <si>
    <t>Цепные темпы роста, %</t>
  </si>
  <si>
    <t>Фактически за годы</t>
  </si>
  <si>
    <t>в действующих ценах;</t>
  </si>
  <si>
    <t>7.1</t>
  </si>
  <si>
    <t>7.2</t>
  </si>
  <si>
    <t>9.1</t>
  </si>
  <si>
    <t>9.2</t>
  </si>
  <si>
    <t>10</t>
  </si>
  <si>
    <t>11</t>
  </si>
  <si>
    <t>в сопоставимых ценах</t>
  </si>
  <si>
    <t>Уровень издержек обращения относительно товарооборота, %</t>
  </si>
  <si>
    <t>Прибыль от реализации, млн.руб.</t>
  </si>
  <si>
    <t>Рентабельность продаж, %</t>
  </si>
  <si>
    <t>Среднесписочная численность работников</t>
  </si>
  <si>
    <t>Выработка на одного работника, млн.руб./чел.:</t>
  </si>
  <si>
    <t>Среднегодовая стоимость основных средств, млн.руб.</t>
  </si>
  <si>
    <t>Фондоотдача:</t>
  </si>
  <si>
    <t>Среднегодовой товарный запас, млн.руб.</t>
  </si>
  <si>
    <t>Товарооборачиваемость, дней</t>
  </si>
  <si>
    <t>Розничный товарооборот, млн.руб.:</t>
  </si>
  <si>
    <t>Издержки обращения, млн.руб.</t>
  </si>
  <si>
    <t>Отклонение отчетного года</t>
  </si>
  <si>
    <t>Отчетный год по отношению к годам, %</t>
  </si>
  <si>
    <t>4.1</t>
  </si>
  <si>
    <t>4.2</t>
  </si>
  <si>
    <t>5.1</t>
  </si>
  <si>
    <t>5.2</t>
  </si>
  <si>
    <t>Розничный товарооборот в действующих ценах, млн.руб.</t>
  </si>
  <si>
    <t>Средний уровень  издержек обращения относительно товарооборота, %</t>
  </si>
  <si>
    <t>Из них материальные и приравненные к ним расходы:</t>
  </si>
  <si>
    <t>сумма, млн.руб.</t>
  </si>
  <si>
    <t>уровень по отношению к товарообороту, %</t>
  </si>
  <si>
    <t>Затратоотдача, руб.:</t>
  </si>
  <si>
    <t>Общая сумма издержек обращения, млн.руб.</t>
  </si>
  <si>
    <t>всех издержек обращения</t>
  </si>
  <si>
    <t>материальных и приравненных к ним расходов</t>
  </si>
  <si>
    <t>Cумма относительной экономии издержек обращения:</t>
  </si>
  <si>
    <t>млн.руб.</t>
  </si>
  <si>
    <t>Cумма относительной экономии материальных и приравненных к ним расходов:</t>
  </si>
  <si>
    <t>руб.</t>
  </si>
  <si>
    <t>%</t>
  </si>
  <si>
    <t>Рост затратоотдачи за счет повышения розничных цен на товары:</t>
  </si>
  <si>
    <t xml:space="preserve">Динамика основных показателей деятельности </t>
  </si>
  <si>
    <t xml:space="preserve">Информация о динамике издержек обращения </t>
  </si>
  <si>
    <t>Анализ состава и структуры издержек обращения</t>
  </si>
  <si>
    <t xml:space="preserve">магазина № 555 </t>
  </si>
  <si>
    <t>сумма</t>
  </si>
  <si>
    <t>в процентах  к товарообороту</t>
  </si>
  <si>
    <t>в сумме</t>
  </si>
  <si>
    <t>Транспортные расходы</t>
  </si>
  <si>
    <t>Расходы на оплату труда персонала</t>
  </si>
  <si>
    <t>Расходы на аренду основных средств и нематериальных активов</t>
  </si>
  <si>
    <t>Расходы на содержание сооружений, помещений и инвентаря</t>
  </si>
  <si>
    <t>Амортизация основных средств и нематериальных активов</t>
  </si>
  <si>
    <t>Затраты и отчисления на ремонт основных средств</t>
  </si>
  <si>
    <t>Износ инвентаря и хозяйственных принадлежностей</t>
  </si>
  <si>
    <t>Статьи издержек обращения</t>
  </si>
  <si>
    <t>Расходы на хранение, доработку, сортировку и упаковку товаров</t>
  </si>
  <si>
    <t>Расходы на торговую рекламу</t>
  </si>
  <si>
    <t>Расходы на тару</t>
  </si>
  <si>
    <t>Налоги, отчисления и сборы, включаемые в издержки обращения</t>
  </si>
  <si>
    <t>Расходы на обеспечение условий труда персонала</t>
  </si>
  <si>
    <t>Расходы на управление и функционирование торговой организации</t>
  </si>
  <si>
    <t>Проценты за кредит</t>
  </si>
  <si>
    <t>Прочие расходы</t>
  </si>
  <si>
    <t>Всего издержек</t>
  </si>
  <si>
    <t>Товарооборот, к которому исчислены издержки</t>
  </si>
  <si>
    <t>12</t>
  </si>
  <si>
    <t>13</t>
  </si>
  <si>
    <t>14</t>
  </si>
  <si>
    <t>15</t>
  </si>
  <si>
    <t>16</t>
  </si>
  <si>
    <t>17</t>
  </si>
  <si>
    <t>Относительный рост расходов</t>
  </si>
  <si>
    <t>Относительная экономия</t>
  </si>
  <si>
    <t>18</t>
  </si>
  <si>
    <t>19</t>
  </si>
  <si>
    <t>Всего относительный перерасход</t>
  </si>
  <si>
    <t>Относительный перерасход (+) или экономия (-) к товарообороту, %</t>
  </si>
  <si>
    <t>х</t>
  </si>
  <si>
    <t>Анализ издержек обращения</t>
  </si>
  <si>
    <t>Экономический элемент</t>
  </si>
  <si>
    <t>удельный вес, %</t>
  </si>
  <si>
    <t>по удельному весу, %</t>
  </si>
  <si>
    <t>Материальные затраты</t>
  </si>
  <si>
    <t>Затраты на оплату труда</t>
  </si>
  <si>
    <t>Отчисления на социальные нужды</t>
  </si>
  <si>
    <t>Амортизация основных средств</t>
  </si>
  <si>
    <t>Прочие затраты</t>
  </si>
  <si>
    <t>Всего издержек обращения</t>
  </si>
  <si>
    <t>Алгоритм расчета влияния динамики товарооборота на сумму и уровень издержек обращения</t>
  </si>
  <si>
    <t>Фактически за прошлый год</t>
  </si>
  <si>
    <t>Влияние динамики товарооборота на издержки обращения</t>
  </si>
  <si>
    <t>Фактически за прошлый год в пересчете на фактический товарооборот отчетного года</t>
  </si>
  <si>
    <t>на сумму</t>
  </si>
  <si>
    <t>на уровень в процентах  к товарообороту</t>
  </si>
  <si>
    <t>x</t>
  </si>
  <si>
    <t>Расчет влияния изменения структуры товарооборота на уровень издержек обращения</t>
  </si>
  <si>
    <t>Состав розничного товарооборота</t>
  </si>
  <si>
    <t>Фактический удельный вес в товарообороте, %</t>
  </si>
  <si>
    <t>Отклонение в динамике</t>
  </si>
  <si>
    <t>Проценты</t>
  </si>
  <si>
    <t>Влияние изменения состава товарооборота на уровень издержек обращения в процентах к товарообороту</t>
  </si>
  <si>
    <t>Продажа товаров населению за наличный и безналичный расчет</t>
  </si>
  <si>
    <t>Реализация товаров населению в кредит</t>
  </si>
  <si>
    <t>Всего</t>
  </si>
  <si>
    <t>Розничный товарооборот в действующих ценах, млн. руб.</t>
  </si>
  <si>
    <t>Среднегодовые товарные запасы в действующих ценах, млн.руб.</t>
  </si>
  <si>
    <t>Время обращения товаров, дней</t>
  </si>
  <si>
    <t>Скорость обращения товаров, оборотов</t>
  </si>
  <si>
    <t xml:space="preserve">Влияние средних товарных запасов и товарооборачиваемости на сумму расходов на хранение, доработку, сортировку и упаковку товаров </t>
  </si>
  <si>
    <t>Обобщение данных анализа влияния факторов на общую сумму и уровень издержек обращения</t>
  </si>
  <si>
    <t>Сумма, млн.руб.</t>
  </si>
  <si>
    <t>Уровень к товарообороту, %</t>
  </si>
  <si>
    <t>Итого повлияли на издержки обращения независимые факторы</t>
  </si>
  <si>
    <t>Общее отклонение в динамике по издержкам обращения</t>
  </si>
  <si>
    <t>Влияние на издержки обращения независимых факторов:</t>
  </si>
  <si>
    <t>повышения розничных цен на товары</t>
  </si>
  <si>
    <t>повышения транспортных тарифов</t>
  </si>
  <si>
    <t>снижения ставок арендной платы</t>
  </si>
  <si>
    <t>2.1</t>
  </si>
  <si>
    <t>2.2</t>
  </si>
  <si>
    <t>2.3</t>
  </si>
  <si>
    <t>Влияние на издержки обращения зависимых факторов:</t>
  </si>
  <si>
    <t>динамики развития розничного товарооборота</t>
  </si>
  <si>
    <t>изменения состава розничного товарооборота в динамике</t>
  </si>
  <si>
    <t>ускорения времени обращения товаров</t>
  </si>
  <si>
    <t>повышения производительности труда работников</t>
  </si>
  <si>
    <t>сокращения самостоятельного вывоза товаров</t>
  </si>
  <si>
    <t>других факторов</t>
  </si>
  <si>
    <t>4.3</t>
  </si>
  <si>
    <t>4.4</t>
  </si>
  <si>
    <t>4.5</t>
  </si>
  <si>
    <t>4.6</t>
  </si>
  <si>
    <t>Итого повлияли на издержки обращения зависимые факторы</t>
  </si>
  <si>
    <t>Анализ показателей по труду и заработной плате</t>
  </si>
  <si>
    <t>3.1</t>
  </si>
  <si>
    <t>3.2</t>
  </si>
  <si>
    <t>Розничный товарооборот, млн.руб.</t>
  </si>
  <si>
    <t>Среднесписочная численность работников, чел.</t>
  </si>
  <si>
    <t>Выработка на одного работника, млн.руб.:</t>
  </si>
  <si>
    <t>Расходы на оплату труда:</t>
  </si>
  <si>
    <t>уровень в % к товарообороту в действующих ценах</t>
  </si>
  <si>
    <t>Средняя за полугодие  заработная плата на одного торгового работника, млн.руб.</t>
  </si>
  <si>
    <t>млн. руб</t>
  </si>
  <si>
    <t>Расчет влияния численности торговых работников и их средней заработной платы на расходы по оплату труда персонала</t>
  </si>
  <si>
    <t>Изменение среднесписочной численности торговых работников</t>
  </si>
  <si>
    <t>Изменение среднегодовой заработной платы на одного торгового работника</t>
  </si>
  <si>
    <t>Влияние на динамику расходов по оплате труда, млн.руб</t>
  </si>
  <si>
    <t>Расчет влияния выработки и средней заработной платы одного торгового работника на сумму расходов по оплате труда персонала</t>
  </si>
  <si>
    <t>РАСЧЕТ</t>
  </si>
  <si>
    <t>Средняя за полугодие заработная плата на одного торгового работника, млн.руб.</t>
  </si>
  <si>
    <t>Средняя за полугодие выработка на одного торгового работника, рассчитанная исходя из товарооборота в действующих ценах, млн.руб.</t>
  </si>
  <si>
    <t>Сумма израсходованных средств на оплату труда, млн.руб.</t>
  </si>
  <si>
    <t xml:space="preserve">1. Динамика основных показателей деятельности </t>
  </si>
  <si>
    <t xml:space="preserve">2. Информация о динамике издержек обращения </t>
  </si>
  <si>
    <t>3. Анализ состава и структуры издержек обращения</t>
  </si>
  <si>
    <t>4. Анализ издержек обращения по экономическим элементам</t>
  </si>
  <si>
    <t>5. Алгоритм расчета влияния динамики товарооборота на сумму и уровень издержек обращения</t>
  </si>
  <si>
    <t>6. Расчет влияния изменения структуры товарооборота на уровень издержек обращения</t>
  </si>
  <si>
    <t xml:space="preserve">7. Влияние средних товарных запасов и товарооборачиваемости на сумму расходов на хранение, доработку, сортировку и упаковку товаров </t>
  </si>
  <si>
    <t>8. Обобщение данных анализа влияния факторов на общую сумму и уровень издержек обращения</t>
  </si>
  <si>
    <t>9. Анализ показателей по труду и заработной плате</t>
  </si>
  <si>
    <t>10. Расчет влияния численности торговых работников и их средней заработной платы на расходы по оплату труда персонала</t>
  </si>
  <si>
    <t>11. Расчет влияния выработки и средней заработной платы одного торгового работника на сумму расходов по оплате труда персонала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</si>
</sst>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* #,##0_);_(* \-#,##0_);_(* &quot;-&quot;??_);_(@_)"/>
    <numFmt numFmtId="174" formatCode="0.000"/>
    <numFmt numFmtId="175" formatCode="0.0"/>
    <numFmt numFmtId="176" formatCode="00"/>
    <numFmt numFmtId="177" formatCode="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000"/>
    <numFmt numFmtId="184" formatCode="0.00000"/>
    <numFmt numFmtId="185" formatCode="0.000000"/>
    <numFmt numFmtId="186" formatCode="0.0%"/>
    <numFmt numFmtId="187" formatCode="0.000%"/>
    <numFmt numFmtId="188" formatCode="0.0000%"/>
    <numFmt numFmtId="189" formatCode="0.00000%"/>
    <numFmt numFmtId="190" formatCode="0.000000%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</numFmts>
  <fonts count="53">
    <font>
      <sz val="10"/>
      <name val="Arial Cyr"/>
      <family val="0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sz val="14"/>
      <name val="Tahoma"/>
      <family val="2"/>
    </font>
    <font>
      <sz val="8"/>
      <color indexed="30"/>
      <name val="Tahoma"/>
      <family val="2"/>
    </font>
    <font>
      <sz val="10"/>
      <color indexed="30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b/>
      <sz val="8"/>
      <name val="Tahoma"/>
      <family val="0"/>
    </font>
    <font>
      <sz val="9"/>
      <color indexed="30"/>
      <name val="Tahoma"/>
      <family val="2"/>
    </font>
    <font>
      <sz val="11"/>
      <color indexed="30"/>
      <name val="Tahoma"/>
      <family val="2"/>
    </font>
    <font>
      <sz val="12"/>
      <color indexed="30"/>
      <name val="Tahoma"/>
      <family val="2"/>
    </font>
    <font>
      <b/>
      <sz val="9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 vertical="center"/>
      <protection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82" fontId="3" fillId="32" borderId="0" xfId="0" applyNumberFormat="1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 hidden="1"/>
    </xf>
    <xf numFmtId="10" fontId="9" fillId="0" borderId="13" xfId="0" applyNumberFormat="1" applyFont="1" applyBorder="1" applyAlignment="1">
      <alignment horizontal="center" vertical="center" wrapText="1"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left"/>
      <protection hidden="1"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 wrapText="1"/>
      <protection hidden="1"/>
    </xf>
    <xf numFmtId="0" fontId="3" fillId="33" borderId="18" xfId="0" applyFont="1" applyFill="1" applyBorder="1" applyAlignment="1" applyProtection="1">
      <alignment vertical="center" wrapText="1"/>
      <protection hidden="1"/>
    </xf>
    <xf numFmtId="0" fontId="1" fillId="0" borderId="13" xfId="0" applyFont="1" applyBorder="1" applyAlignment="1">
      <alignment horizontal="left" vertical="center" wrapText="1" indent="1"/>
    </xf>
    <xf numFmtId="182" fontId="1" fillId="0" borderId="13" xfId="0" applyNumberFormat="1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14" fillId="34" borderId="19" xfId="0" applyFont="1" applyFill="1" applyBorder="1" applyAlignment="1" applyProtection="1">
      <alignment horizontal="center" vertical="center" wrapText="1"/>
      <protection hidden="1"/>
    </xf>
    <xf numFmtId="0" fontId="14" fillId="34" borderId="19" xfId="0" applyFont="1" applyFill="1" applyBorder="1" applyAlignment="1">
      <alignment horizontal="center" vertical="center" wrapText="1"/>
    </xf>
    <xf numFmtId="182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0" fontId="9" fillId="0" borderId="13" xfId="0" applyNumberFormat="1" applyFont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4" fontId="9" fillId="0" borderId="0" xfId="0" applyNumberFormat="1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10" fontId="1" fillId="0" borderId="13" xfId="0" applyNumberFormat="1" applyFont="1" applyBorder="1" applyAlignment="1">
      <alignment horizontal="center" vertical="center" wrapText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3" fontId="3" fillId="34" borderId="13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190" fontId="9" fillId="0" borderId="13" xfId="0" applyNumberFormat="1" applyFont="1" applyBorder="1" applyAlignment="1">
      <alignment horizontal="center" vertical="center" wrapText="1"/>
    </xf>
    <xf numFmtId="3" fontId="11" fillId="34" borderId="13" xfId="0" applyNumberFormat="1" applyFont="1" applyFill="1" applyBorder="1" applyAlignment="1">
      <alignment vertical="center" wrapText="1"/>
    </xf>
    <xf numFmtId="4" fontId="3" fillId="32" borderId="0" xfId="0" applyNumberFormat="1" applyFont="1" applyFill="1" applyAlignment="1" applyProtection="1">
      <alignment horizontal="center"/>
      <protection hidden="1"/>
    </xf>
    <xf numFmtId="10" fontId="9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8" fillId="32" borderId="0" xfId="0" applyFont="1" applyFill="1" applyAlignment="1" applyProtection="1">
      <alignment vertical="center" wrapText="1"/>
      <protection hidden="1"/>
    </xf>
    <xf numFmtId="0" fontId="3" fillId="32" borderId="0" xfId="0" applyFont="1" applyFill="1" applyAlignment="1" applyProtection="1">
      <alignment vertical="center" wrapText="1"/>
      <protection hidden="1"/>
    </xf>
    <xf numFmtId="0" fontId="4" fillId="32" borderId="0" xfId="42" applyFill="1" applyAlignment="1" applyProtection="1">
      <alignment vertical="center" wrapText="1"/>
      <protection hidden="1"/>
    </xf>
    <xf numFmtId="0" fontId="4" fillId="32" borderId="0" xfId="42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10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3" fontId="2" fillId="34" borderId="22" xfId="0" applyNumberFormat="1" applyFont="1" applyFill="1" applyBorder="1" applyAlignment="1">
      <alignment horizontal="center" vertical="center" wrapText="1"/>
    </xf>
    <xf numFmtId="3" fontId="2" fillId="34" borderId="23" xfId="0" applyNumberFormat="1" applyFont="1" applyFill="1" applyBorder="1" applyAlignment="1">
      <alignment horizontal="center" vertical="center" wrapText="1"/>
    </xf>
    <xf numFmtId="3" fontId="2" fillId="34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15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>
      <alignment horizontal="left" vertical="center" wrapText="1"/>
    </xf>
    <xf numFmtId="0" fontId="15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3" fontId="2" fillId="34" borderId="13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19" xfId="0" applyFont="1" applyFill="1" applyBorder="1" applyAlignment="1" applyProtection="1">
      <alignment horizontal="center" vertical="center" wrapText="1"/>
      <protection hidden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16" fillId="33" borderId="0" xfId="0" applyNumberFormat="1" applyFont="1" applyFill="1" applyBorder="1" applyAlignment="1" applyProtection="1">
      <alignment horizontal="center" vertical="center" wrapText="1"/>
      <protection hidden="1"/>
    </xf>
    <xf numFmtId="3" fontId="3" fillId="34" borderId="13" xfId="0" applyNumberFormat="1" applyFont="1" applyFill="1" applyBorder="1" applyAlignment="1">
      <alignment horizontal="center" vertical="center" wrapText="1"/>
    </xf>
    <xf numFmtId="3" fontId="3" fillId="34" borderId="22" xfId="0" applyNumberFormat="1" applyFont="1" applyFill="1" applyBorder="1" applyAlignment="1">
      <alignment horizontal="center" vertical="center" wrapText="1"/>
    </xf>
    <xf numFmtId="3" fontId="3" fillId="34" borderId="23" xfId="0" applyNumberFormat="1" applyFont="1" applyFill="1" applyBorder="1" applyAlignment="1">
      <alignment horizontal="center" vertical="center" wrapText="1"/>
    </xf>
    <xf numFmtId="3" fontId="3" fillId="34" borderId="24" xfId="0" applyNumberFormat="1" applyFont="1" applyFill="1" applyBorder="1" applyAlignment="1">
      <alignment horizontal="center" vertical="center" wrapText="1"/>
    </xf>
    <xf numFmtId="3" fontId="11" fillId="34" borderId="22" xfId="0" applyNumberFormat="1" applyFont="1" applyFill="1" applyBorder="1" applyAlignment="1">
      <alignment horizontal="center" vertical="center" wrapText="1"/>
    </xf>
    <xf numFmtId="3" fontId="11" fillId="34" borderId="24" xfId="0" applyNumberFormat="1" applyFont="1" applyFill="1" applyBorder="1" applyAlignment="1">
      <alignment horizontal="center" vertical="center" wrapText="1"/>
    </xf>
    <xf numFmtId="3" fontId="3" fillId="34" borderId="20" xfId="0" applyNumberFormat="1" applyFont="1" applyFill="1" applyBorder="1" applyAlignment="1">
      <alignment horizontal="center" vertical="center" wrapText="1"/>
    </xf>
    <xf numFmtId="3" fontId="3" fillId="34" borderId="25" xfId="0" applyNumberFormat="1" applyFont="1" applyFill="1" applyBorder="1" applyAlignment="1">
      <alignment horizontal="center" vertical="center" wrapText="1"/>
    </xf>
    <xf numFmtId="3" fontId="3" fillId="34" borderId="19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3" fontId="11" fillId="34" borderId="13" xfId="0" applyNumberFormat="1" applyFont="1" applyFill="1" applyBorder="1" applyAlignment="1">
      <alignment horizontal="center" vertical="center" wrapText="1"/>
    </xf>
    <xf numFmtId="0" fontId="17" fillId="32" borderId="0" xfId="0" applyFont="1" applyFill="1" applyAlignment="1" applyProtection="1">
      <alignment horizontal="left" vertical="center"/>
      <protection hidden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7" fillId="32" borderId="0" xfId="0" applyFont="1" applyFill="1" applyAlignment="1" applyProtection="1">
      <alignment horizontal="right" vertical="center" indent="15"/>
      <protection hidden="1"/>
    </xf>
    <xf numFmtId="0" fontId="1" fillId="0" borderId="0" xfId="0" applyNumberFormat="1" applyFont="1" applyBorder="1" applyAlignment="1">
      <alignment horizontal="center" vertical="center" wrapText="1"/>
    </xf>
    <xf numFmtId="0" fontId="17" fillId="32" borderId="0" xfId="0" applyFont="1" applyFill="1" applyAlignment="1" applyProtection="1">
      <alignment horizontal="right" vertical="center"/>
      <protection hidden="1"/>
    </xf>
    <xf numFmtId="0" fontId="17" fillId="32" borderId="0" xfId="0" applyFont="1" applyFill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AR25"/>
  <sheetViews>
    <sheetView tabSelected="1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4" customWidth="1"/>
    <col min="4" max="4" width="32.125" style="14" customWidth="1"/>
    <col min="5" max="5" width="10.25390625" style="15" customWidth="1"/>
    <col min="6" max="6" width="10.625" style="15" bestFit="1" customWidth="1"/>
    <col min="7" max="7" width="11.125" style="15" bestFit="1" customWidth="1"/>
    <col min="8" max="8" width="10.625" style="15" bestFit="1" customWidth="1"/>
    <col min="9" max="9" width="10.125" style="15" customWidth="1"/>
    <col min="10" max="10" width="10.625" style="15" bestFit="1" customWidth="1"/>
    <col min="11" max="11" width="8.25390625" style="1" bestFit="1" customWidth="1"/>
    <col min="12" max="12" width="3.00390625" style="1" customWidth="1"/>
    <col min="13" max="13" width="2.75390625" style="1" customWidth="1"/>
    <col min="14" max="14" width="53.25390625" style="54" customWidth="1"/>
    <col min="15" max="15" width="2.75390625" style="1" customWidth="1"/>
    <col min="16" max="16" width="6.625" style="1" bestFit="1" customWidth="1"/>
    <col min="17" max="17" width="2.75390625" style="1" customWidth="1"/>
    <col min="18" max="18" width="6.625" style="1" bestFit="1" customWidth="1"/>
    <col min="19" max="20" width="2.75390625" style="1" customWidth="1"/>
    <col min="21" max="25" width="3.25390625" style="1" bestFit="1" customWidth="1"/>
    <col min="26" max="26" width="4.75390625" style="1" bestFit="1" customWidth="1"/>
    <col min="27" max="16384" width="2.75390625" style="1" customWidth="1"/>
  </cols>
  <sheetData>
    <row r="1" spans="2:19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3"/>
      <c r="O1" s="5"/>
      <c r="P1" s="5"/>
      <c r="Q1" s="5"/>
      <c r="R1" s="5"/>
      <c r="S1" s="5"/>
    </row>
    <row r="2" spans="2:44" ht="11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8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2:44" ht="18">
      <c r="B3" s="19"/>
      <c r="C3" s="59" t="s">
        <v>56</v>
      </c>
      <c r="D3" s="59"/>
      <c r="E3" s="59"/>
      <c r="F3" s="59"/>
      <c r="G3" s="59"/>
      <c r="H3" s="59"/>
      <c r="I3" s="59"/>
      <c r="J3" s="59"/>
      <c r="K3" s="59"/>
      <c r="L3" s="20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2:44" ht="18" customHeight="1">
      <c r="B4" s="19"/>
      <c r="C4" s="65" t="s">
        <v>59</v>
      </c>
      <c r="D4" s="65"/>
      <c r="E4" s="65"/>
      <c r="F4" s="65"/>
      <c r="G4" s="66" t="str">
        <f>CONCATENATE("за ",E7,"-",H7," годы")</f>
        <v>за 2007-2010 годы</v>
      </c>
      <c r="H4" s="66"/>
      <c r="I4" s="66"/>
      <c r="J4" s="66"/>
      <c r="K4" s="66"/>
      <c r="L4" s="2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2:44" ht="12.75" customHeight="1">
      <c r="B5" s="19"/>
      <c r="C5" s="7"/>
      <c r="D5" s="7"/>
      <c r="E5" s="7"/>
      <c r="F5" s="7"/>
      <c r="G5" s="7"/>
      <c r="H5" s="7"/>
      <c r="I5" s="7"/>
      <c r="J5" s="7"/>
      <c r="K5" s="7"/>
      <c r="L5" s="20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2:44" ht="51" customHeight="1">
      <c r="B6" s="21"/>
      <c r="C6" s="60" t="s">
        <v>0</v>
      </c>
      <c r="D6" s="60" t="s">
        <v>13</v>
      </c>
      <c r="E6" s="62" t="s">
        <v>15</v>
      </c>
      <c r="F6" s="63"/>
      <c r="G6" s="63"/>
      <c r="H6" s="64"/>
      <c r="I6" s="62" t="s">
        <v>14</v>
      </c>
      <c r="J6" s="63"/>
      <c r="K6" s="64"/>
      <c r="L6" s="20"/>
      <c r="N6" s="55" t="s">
        <v>168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2:44" ht="22.5">
      <c r="B7" s="21"/>
      <c r="C7" s="61"/>
      <c r="D7" s="61"/>
      <c r="E7" s="26">
        <v>2007</v>
      </c>
      <c r="F7" s="28">
        <f>E7+1</f>
        <v>2008</v>
      </c>
      <c r="G7" s="28">
        <f>F7+1</f>
        <v>2009</v>
      </c>
      <c r="H7" s="28">
        <f>G7+1</f>
        <v>2010</v>
      </c>
      <c r="I7" s="29" t="str">
        <f>CONCATENATE(F7," к ",E7)</f>
        <v>2008 к 2007</v>
      </c>
      <c r="J7" s="29" t="str">
        <f>CONCATENATE(G7," к ",F7)</f>
        <v>2009 к 2008</v>
      </c>
      <c r="K7" s="29" t="str">
        <f>CONCATENATE(H7," к ",G7)</f>
        <v>2010 к 2009</v>
      </c>
      <c r="L7" s="20"/>
      <c r="N7" s="55" t="s">
        <v>169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26" s="8" customFormat="1" ht="12.75">
      <c r="B8" s="2"/>
      <c r="C8" s="9" t="s">
        <v>8</v>
      </c>
      <c r="D8" s="10" t="s">
        <v>33</v>
      </c>
      <c r="E8" s="25"/>
      <c r="F8" s="25"/>
      <c r="G8" s="25"/>
      <c r="H8" s="25"/>
      <c r="I8" s="25"/>
      <c r="J8" s="13"/>
      <c r="K8" s="13"/>
      <c r="L8" s="3"/>
      <c r="N8" s="56" t="s">
        <v>170</v>
      </c>
      <c r="U8" s="11"/>
      <c r="V8" s="11"/>
      <c r="W8" s="11"/>
      <c r="X8" s="11"/>
      <c r="Y8" s="11"/>
      <c r="Z8" s="11"/>
    </row>
    <row r="9" spans="2:26" s="8" customFormat="1" ht="25.5">
      <c r="B9" s="2"/>
      <c r="C9" s="9" t="s">
        <v>9</v>
      </c>
      <c r="D9" s="24" t="s">
        <v>16</v>
      </c>
      <c r="E9" s="32">
        <v>5000</v>
      </c>
      <c r="F9" s="32">
        <v>5500</v>
      </c>
      <c r="G9" s="32">
        <v>6100</v>
      </c>
      <c r="H9" s="32">
        <v>6900</v>
      </c>
      <c r="I9" s="13">
        <f>F9/E9</f>
        <v>1.1</v>
      </c>
      <c r="J9" s="13">
        <f>G9/F9</f>
        <v>1.1090909090909091</v>
      </c>
      <c r="K9" s="13">
        <f>H9/G9</f>
        <v>1.1311475409836065</v>
      </c>
      <c r="L9" s="3"/>
      <c r="N9" s="56" t="s">
        <v>171</v>
      </c>
      <c r="U9" s="11"/>
      <c r="V9" s="11"/>
      <c r="W9" s="11"/>
      <c r="X9" s="11"/>
      <c r="Y9" s="11"/>
      <c r="Z9" s="11"/>
    </row>
    <row r="10" spans="2:26" s="8" customFormat="1" ht="25.5">
      <c r="B10" s="2"/>
      <c r="C10" s="9" t="s">
        <v>10</v>
      </c>
      <c r="D10" s="24" t="s">
        <v>23</v>
      </c>
      <c r="E10" s="32">
        <v>5000</v>
      </c>
      <c r="F10" s="32">
        <v>5400</v>
      </c>
      <c r="G10" s="32">
        <v>5970</v>
      </c>
      <c r="H10" s="32">
        <v>6680</v>
      </c>
      <c r="I10" s="13">
        <f aca="true" t="shared" si="0" ref="I10:I24">F10/E10</f>
        <v>1.08</v>
      </c>
      <c r="J10" s="13">
        <f aca="true" t="shared" si="1" ref="J10:J24">G10/F10</f>
        <v>1.1055555555555556</v>
      </c>
      <c r="K10" s="13">
        <f aca="true" t="shared" si="2" ref="K10:K24">H10/G10</f>
        <v>1.11892797319933</v>
      </c>
      <c r="L10" s="3"/>
      <c r="N10" s="56" t="s">
        <v>172</v>
      </c>
      <c r="U10" s="11"/>
      <c r="V10" s="11"/>
      <c r="W10" s="11"/>
      <c r="X10" s="11"/>
      <c r="Y10" s="11"/>
      <c r="Z10" s="11"/>
    </row>
    <row r="11" spans="2:26" s="8" customFormat="1" ht="25.5">
      <c r="B11" s="2"/>
      <c r="C11" s="9" t="s">
        <v>3</v>
      </c>
      <c r="D11" s="10" t="s">
        <v>34</v>
      </c>
      <c r="E11" s="32">
        <v>487</v>
      </c>
      <c r="F11" s="31">
        <f>'А-з состава и стр-ры издержек'!E24</f>
        <v>494.4</v>
      </c>
      <c r="G11" s="31">
        <f>'А-з состава и стр-ры издержек'!G24</f>
        <v>524.81</v>
      </c>
      <c r="H11" s="31">
        <f>'А-з состава и стр-ры издержек'!I24</f>
        <v>574.22</v>
      </c>
      <c r="I11" s="13">
        <f t="shared" si="0"/>
        <v>1.0151950718685832</v>
      </c>
      <c r="J11" s="13">
        <f t="shared" si="1"/>
        <v>1.0615088996763753</v>
      </c>
      <c r="K11" s="13">
        <f t="shared" si="2"/>
        <v>1.0941483584535356</v>
      </c>
      <c r="L11" s="3"/>
      <c r="N11" s="56" t="s">
        <v>173</v>
      </c>
      <c r="U11" s="11"/>
      <c r="V11" s="11"/>
      <c r="W11" s="11"/>
      <c r="X11" s="11"/>
      <c r="Y11" s="11"/>
      <c r="Z11" s="11"/>
    </row>
    <row r="12" spans="2:26" s="8" customFormat="1" ht="38.25">
      <c r="B12" s="2"/>
      <c r="C12" s="9" t="s">
        <v>1</v>
      </c>
      <c r="D12" s="10" t="s">
        <v>24</v>
      </c>
      <c r="E12" s="13">
        <f>E11/E9</f>
        <v>0.0974</v>
      </c>
      <c r="F12" s="13">
        <f>F11/F9</f>
        <v>0.08989090909090909</v>
      </c>
      <c r="G12" s="13">
        <f>G11/G9</f>
        <v>0.08603442622950819</v>
      </c>
      <c r="H12" s="13">
        <f>H11/H9</f>
        <v>0.08322028985507247</v>
      </c>
      <c r="I12" s="13">
        <f t="shared" si="0"/>
        <v>0.922904610789621</v>
      </c>
      <c r="J12" s="13">
        <f t="shared" si="1"/>
        <v>0.9570981882327974</v>
      </c>
      <c r="K12" s="13">
        <f t="shared" si="2"/>
        <v>0.9672905777632708</v>
      </c>
      <c r="L12" s="3"/>
      <c r="N12" s="56" t="s">
        <v>174</v>
      </c>
      <c r="U12" s="11"/>
      <c r="V12" s="11"/>
      <c r="W12" s="11"/>
      <c r="X12" s="11"/>
      <c r="Y12" s="11"/>
      <c r="Z12" s="11"/>
    </row>
    <row r="13" spans="2:26" s="8" customFormat="1" ht="25.5">
      <c r="B13" s="2"/>
      <c r="C13" s="9" t="s">
        <v>2</v>
      </c>
      <c r="D13" s="10" t="s">
        <v>25</v>
      </c>
      <c r="E13" s="32">
        <v>50</v>
      </c>
      <c r="F13" s="32">
        <v>56</v>
      </c>
      <c r="G13" s="32">
        <v>63</v>
      </c>
      <c r="H13" s="32">
        <v>71</v>
      </c>
      <c r="I13" s="13">
        <f t="shared" si="0"/>
        <v>1.12</v>
      </c>
      <c r="J13" s="13">
        <f t="shared" si="1"/>
        <v>1.125</v>
      </c>
      <c r="K13" s="13">
        <f t="shared" si="2"/>
        <v>1.126984126984127</v>
      </c>
      <c r="L13" s="3"/>
      <c r="N13" s="56" t="s">
        <v>175</v>
      </c>
      <c r="U13" s="11"/>
      <c r="V13" s="11"/>
      <c r="W13" s="11"/>
      <c r="X13" s="11"/>
      <c r="Y13" s="11"/>
      <c r="Z13" s="11"/>
    </row>
    <row r="14" spans="2:26" s="8" customFormat="1" ht="12.75">
      <c r="B14" s="2"/>
      <c r="C14" s="9" t="s">
        <v>4</v>
      </c>
      <c r="D14" s="10" t="s">
        <v>26</v>
      </c>
      <c r="E14" s="13">
        <f>E13/E9</f>
        <v>0.01</v>
      </c>
      <c r="F14" s="13">
        <f>F13/F9</f>
        <v>0.010181818181818183</v>
      </c>
      <c r="G14" s="13">
        <f>G13/G9</f>
        <v>0.010327868852459017</v>
      </c>
      <c r="H14" s="13">
        <f>H13/H9</f>
        <v>0.010289855072463768</v>
      </c>
      <c r="I14" s="13">
        <f t="shared" si="0"/>
        <v>1.0181818181818183</v>
      </c>
      <c r="J14" s="13">
        <f t="shared" si="1"/>
        <v>1.014344262295082</v>
      </c>
      <c r="K14" s="13">
        <f t="shared" si="2"/>
        <v>0.9963193006671267</v>
      </c>
      <c r="L14" s="3"/>
      <c r="N14" s="56" t="s">
        <v>176</v>
      </c>
      <c r="U14" s="11"/>
      <c r="V14" s="11"/>
      <c r="W14" s="11"/>
      <c r="X14" s="11"/>
      <c r="Y14" s="11"/>
      <c r="Z14" s="11"/>
    </row>
    <row r="15" spans="2:26" s="8" customFormat="1" ht="38.25">
      <c r="B15" s="2"/>
      <c r="C15" s="9" t="s">
        <v>5</v>
      </c>
      <c r="D15" s="10" t="s">
        <v>27</v>
      </c>
      <c r="E15" s="25">
        <v>100</v>
      </c>
      <c r="F15" s="25">
        <v>105</v>
      </c>
      <c r="G15" s="25">
        <v>107</v>
      </c>
      <c r="H15" s="25">
        <v>113</v>
      </c>
      <c r="I15" s="13">
        <f t="shared" si="0"/>
        <v>1.05</v>
      </c>
      <c r="J15" s="13">
        <f t="shared" si="1"/>
        <v>1.019047619047619</v>
      </c>
      <c r="K15" s="13">
        <f t="shared" si="2"/>
        <v>1.0560747663551402</v>
      </c>
      <c r="L15" s="3"/>
      <c r="N15" s="56" t="s">
        <v>177</v>
      </c>
      <c r="U15" s="11"/>
      <c r="V15" s="11"/>
      <c r="W15" s="11"/>
      <c r="X15" s="11"/>
      <c r="Y15" s="11"/>
      <c r="Z15" s="11"/>
    </row>
    <row r="16" spans="2:26" s="8" customFormat="1" ht="38.25">
      <c r="B16" s="2"/>
      <c r="C16" s="9" t="s">
        <v>6</v>
      </c>
      <c r="D16" s="10" t="s">
        <v>28</v>
      </c>
      <c r="E16" s="25"/>
      <c r="F16" s="13"/>
      <c r="G16" s="25"/>
      <c r="H16" s="13"/>
      <c r="I16" s="13"/>
      <c r="J16" s="13"/>
      <c r="K16" s="13"/>
      <c r="L16" s="3"/>
      <c r="N16" s="56" t="s">
        <v>178</v>
      </c>
      <c r="U16" s="11"/>
      <c r="V16" s="11"/>
      <c r="W16" s="11"/>
      <c r="X16" s="11"/>
      <c r="Y16" s="11"/>
      <c r="Z16" s="11"/>
    </row>
    <row r="17" spans="2:26" s="8" customFormat="1" ht="12.75">
      <c r="B17" s="2"/>
      <c r="C17" s="9" t="s">
        <v>17</v>
      </c>
      <c r="D17" s="24" t="s">
        <v>16</v>
      </c>
      <c r="E17" s="31">
        <f>E9/E15</f>
        <v>50</v>
      </c>
      <c r="F17" s="31">
        <f>F9/F15</f>
        <v>52.38095238095238</v>
      </c>
      <c r="G17" s="31">
        <f>G9/G15</f>
        <v>57.00934579439252</v>
      </c>
      <c r="H17" s="31">
        <f>H9/H15</f>
        <v>61.06194690265487</v>
      </c>
      <c r="I17" s="13">
        <f t="shared" si="0"/>
        <v>1.0476190476190477</v>
      </c>
      <c r="J17" s="13">
        <f t="shared" si="1"/>
        <v>1.0883602378929482</v>
      </c>
      <c r="K17" s="13">
        <f t="shared" si="2"/>
        <v>1.071086609603946</v>
      </c>
      <c r="L17" s="3"/>
      <c r="N17" s="57"/>
      <c r="U17" s="11"/>
      <c r="V17" s="11"/>
      <c r="W17" s="11"/>
      <c r="X17" s="11"/>
      <c r="Y17" s="11"/>
      <c r="Z17" s="11"/>
    </row>
    <row r="18" spans="2:26" s="8" customFormat="1" ht="24" customHeight="1">
      <c r="B18" s="2"/>
      <c r="C18" s="9" t="s">
        <v>18</v>
      </c>
      <c r="D18" s="24" t="s">
        <v>23</v>
      </c>
      <c r="E18" s="31">
        <f>E10/E15</f>
        <v>50</v>
      </c>
      <c r="F18" s="31">
        <f>F10/F15</f>
        <v>51.42857142857143</v>
      </c>
      <c r="G18" s="31">
        <f>G10/G15</f>
        <v>55.794392523364486</v>
      </c>
      <c r="H18" s="31">
        <f>H10/H15</f>
        <v>59.11504424778761</v>
      </c>
      <c r="I18" s="13">
        <f t="shared" si="0"/>
        <v>1.0285714285714287</v>
      </c>
      <c r="J18" s="13">
        <f t="shared" si="1"/>
        <v>1.084890965732087</v>
      </c>
      <c r="K18" s="13">
        <f t="shared" si="2"/>
        <v>1.0595158684276842</v>
      </c>
      <c r="L18" s="3"/>
      <c r="N18" s="57"/>
      <c r="U18" s="11"/>
      <c r="V18" s="11"/>
      <c r="W18" s="11"/>
      <c r="X18" s="11"/>
      <c r="Y18" s="11"/>
      <c r="Z18" s="11"/>
    </row>
    <row r="19" spans="2:26" s="8" customFormat="1" ht="25.5">
      <c r="B19" s="2"/>
      <c r="C19" s="9" t="s">
        <v>11</v>
      </c>
      <c r="D19" s="10" t="s">
        <v>29</v>
      </c>
      <c r="E19" s="32">
        <v>158</v>
      </c>
      <c r="F19" s="32">
        <v>161</v>
      </c>
      <c r="G19" s="32">
        <v>163</v>
      </c>
      <c r="H19" s="32">
        <v>166</v>
      </c>
      <c r="I19" s="13">
        <f t="shared" si="0"/>
        <v>1.018987341772152</v>
      </c>
      <c r="J19" s="13">
        <f t="shared" si="1"/>
        <v>1.0124223602484472</v>
      </c>
      <c r="K19" s="13">
        <f t="shared" si="2"/>
        <v>1.01840490797546</v>
      </c>
      <c r="L19" s="3"/>
      <c r="N19" s="57"/>
      <c r="U19" s="11"/>
      <c r="V19" s="11"/>
      <c r="W19" s="11"/>
      <c r="X19" s="11"/>
      <c r="Y19" s="11"/>
      <c r="Z19" s="11"/>
    </row>
    <row r="20" spans="2:26" s="8" customFormat="1" ht="24" customHeight="1">
      <c r="B20" s="2"/>
      <c r="C20" s="9" t="s">
        <v>12</v>
      </c>
      <c r="D20" s="10" t="s">
        <v>30</v>
      </c>
      <c r="E20" s="25"/>
      <c r="F20" s="13"/>
      <c r="G20" s="25"/>
      <c r="H20" s="13"/>
      <c r="I20" s="13"/>
      <c r="J20" s="13"/>
      <c r="K20" s="13"/>
      <c r="L20" s="3"/>
      <c r="N20" s="57"/>
      <c r="U20" s="11"/>
      <c r="V20" s="11"/>
      <c r="W20" s="11"/>
      <c r="X20" s="11"/>
      <c r="Y20" s="11"/>
      <c r="Z20" s="11"/>
    </row>
    <row r="21" spans="2:26" s="12" customFormat="1" ht="24" customHeight="1">
      <c r="B21" s="2"/>
      <c r="C21" s="9" t="s">
        <v>19</v>
      </c>
      <c r="D21" s="24" t="s">
        <v>16</v>
      </c>
      <c r="E21" s="31">
        <f>E9/E19</f>
        <v>31.645569620253166</v>
      </c>
      <c r="F21" s="31">
        <f>F9/F19</f>
        <v>34.161490683229815</v>
      </c>
      <c r="G21" s="31">
        <f>G9/G19</f>
        <v>37.423312883435585</v>
      </c>
      <c r="H21" s="31">
        <f>H9/H19</f>
        <v>41.566265060240966</v>
      </c>
      <c r="I21" s="13">
        <f t="shared" si="0"/>
        <v>1.0795031055900621</v>
      </c>
      <c r="J21" s="13">
        <f t="shared" si="1"/>
        <v>1.0954824316787508</v>
      </c>
      <c r="K21" s="13">
        <f t="shared" si="2"/>
        <v>1.1107051155441439</v>
      </c>
      <c r="L21" s="3"/>
      <c r="N21" s="58"/>
      <c r="U21" s="11"/>
      <c r="V21" s="11"/>
      <c r="W21" s="11"/>
      <c r="X21" s="11"/>
      <c r="Y21" s="11"/>
      <c r="Z21" s="11"/>
    </row>
    <row r="22" spans="2:26" s="12" customFormat="1" ht="24" customHeight="1">
      <c r="B22" s="2"/>
      <c r="C22" s="9" t="s">
        <v>20</v>
      </c>
      <c r="D22" s="24" t="s">
        <v>23</v>
      </c>
      <c r="E22" s="31">
        <f>E10/E19</f>
        <v>31.645569620253166</v>
      </c>
      <c r="F22" s="31">
        <f>F10/F19</f>
        <v>33.54037267080745</v>
      </c>
      <c r="G22" s="31">
        <f>G10/G19</f>
        <v>36.625766871165645</v>
      </c>
      <c r="H22" s="31">
        <f>H10/H19</f>
        <v>40.24096385542169</v>
      </c>
      <c r="I22" s="13">
        <f t="shared" si="0"/>
        <v>1.0598757763975153</v>
      </c>
      <c r="J22" s="13">
        <f t="shared" si="1"/>
        <v>1.0919904567143832</v>
      </c>
      <c r="K22" s="13">
        <f t="shared" si="2"/>
        <v>1.0987063833222337</v>
      </c>
      <c r="L22" s="3"/>
      <c r="N22" s="58"/>
      <c r="U22" s="11"/>
      <c r="V22" s="11"/>
      <c r="W22" s="11"/>
      <c r="X22" s="11"/>
      <c r="Y22" s="11"/>
      <c r="Z22" s="11"/>
    </row>
    <row r="23" spans="2:26" s="12" customFormat="1" ht="25.5">
      <c r="B23" s="2"/>
      <c r="C23" s="9" t="s">
        <v>21</v>
      </c>
      <c r="D23" s="10" t="s">
        <v>31</v>
      </c>
      <c r="E23" s="32">
        <v>2000</v>
      </c>
      <c r="F23" s="32">
        <v>2200</v>
      </c>
      <c r="G23" s="32">
        <v>2350</v>
      </c>
      <c r="H23" s="32">
        <v>2450</v>
      </c>
      <c r="I23" s="13">
        <f t="shared" si="0"/>
        <v>1.1</v>
      </c>
      <c r="J23" s="13">
        <f t="shared" si="1"/>
        <v>1.0681818181818181</v>
      </c>
      <c r="K23" s="13">
        <f t="shared" si="2"/>
        <v>1.0425531914893618</v>
      </c>
      <c r="L23" s="3"/>
      <c r="N23" s="58"/>
      <c r="U23" s="11"/>
      <c r="V23" s="11"/>
      <c r="W23" s="11"/>
      <c r="X23" s="11"/>
      <c r="Y23" s="11"/>
      <c r="Z23" s="11"/>
    </row>
    <row r="24" spans="2:26" s="12" customFormat="1" ht="24" customHeight="1">
      <c r="B24" s="2"/>
      <c r="C24" s="9" t="s">
        <v>22</v>
      </c>
      <c r="D24" s="10" t="s">
        <v>32</v>
      </c>
      <c r="E24" s="30">
        <f>E23/E9*360</f>
        <v>144</v>
      </c>
      <c r="F24" s="30">
        <f>F23/F9*360</f>
        <v>144</v>
      </c>
      <c r="G24" s="30">
        <f>G23/G9*360</f>
        <v>138.68852459016392</v>
      </c>
      <c r="H24" s="30">
        <f>H23/H9*360</f>
        <v>127.82608695652175</v>
      </c>
      <c r="I24" s="13">
        <f t="shared" si="0"/>
        <v>1</v>
      </c>
      <c r="J24" s="13">
        <f t="shared" si="1"/>
        <v>0.9631147540983606</v>
      </c>
      <c r="K24" s="13">
        <f t="shared" si="2"/>
        <v>0.9216774591427692</v>
      </c>
      <c r="L24" s="3"/>
      <c r="N24" s="58"/>
      <c r="U24" s="11"/>
      <c r="V24" s="11"/>
      <c r="W24" s="11"/>
      <c r="X24" s="11"/>
      <c r="Y24" s="11"/>
      <c r="Z24" s="11"/>
    </row>
    <row r="25" spans="2:12" ht="11.25" thickBot="1">
      <c r="B25" s="4"/>
      <c r="C25" s="22"/>
      <c r="D25" s="22"/>
      <c r="E25" s="22"/>
      <c r="F25" s="22"/>
      <c r="G25" s="22"/>
      <c r="H25" s="22"/>
      <c r="I25" s="22"/>
      <c r="J25" s="22"/>
      <c r="K25" s="22"/>
      <c r="L25" s="23"/>
    </row>
  </sheetData>
  <sheetProtection/>
  <mergeCells count="7">
    <mergeCell ref="C3:K3"/>
    <mergeCell ref="C6:C7"/>
    <mergeCell ref="D6:D7"/>
    <mergeCell ref="E6:H6"/>
    <mergeCell ref="I6:K6"/>
    <mergeCell ref="C4:F4"/>
    <mergeCell ref="G4:K4"/>
  </mergeCells>
  <hyperlinks>
    <hyperlink ref="N6" location="'Динамика осн. пок-лей'!A1" display="Динамика основных показателей деятельности "/>
    <hyperlink ref="N7" location="'Динамика издержек'!A1" display="Информация о динамике издержек обращения "/>
    <hyperlink ref="N8" location="'А-з состава и стр-ры издержек'!A1" display="Анализ состава и структуры издержек обращения"/>
    <hyperlink ref="N9" location="'А-з издержек по эк. эл-там'!A1" display="Анализ издержек обращения по экономическим элементам"/>
    <hyperlink ref="N10" location="'Влияние динамики т-оборота'!A1" display="Алгоритм расчета влияния динамики товарооборота на сумму и уровень издержек обращения"/>
    <hyperlink ref="N11" location="'Влияние стр-ры т-оборота'!A1" display="Расчет влияния изменения структуры товарооборота на уровень издержек обращения"/>
    <hyperlink ref="N12" location="'Влияние товарных запасов'!A1" display="Влияние средних товарных запасов и товарооборачиваемости на сумму расходов на хранение, доработку, сортировку и упаковку товаров "/>
    <hyperlink ref="N13" location="'Обобщение влияния ф-ров'!A1" display="Обобщение данных анализа влияния факторов на общую сумму и уровень издержек обращения"/>
    <hyperlink ref="N14" location="'А-з пок-лей по труду и ЗП'!A1" display="Анализ показателей по труду и заработной плате"/>
    <hyperlink ref="N15" location="'Влияние пок-лей по труду и ЗП'!A1" display="Расчет влияния численности торговых работников и их средней заработной платы на расходы по оплату труда персонала"/>
    <hyperlink ref="N16" location="'Влияние выработки и СЗП'!A1" display="Расчет влияния выработки и средней заработной платы одного торгового работника на сумму расходов по оплате труда персонала"/>
  </hyperlinks>
  <printOptions/>
  <pageMargins left="0.7" right="0.7" top="0.75" bottom="0.75" header="0.3" footer="0.3"/>
  <pageSetup horizontalDpi="300" verticalDpi="300" orientation="portrait" paperSize="9" scale="7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2" min="1" max="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B1:AL24"/>
  <sheetViews>
    <sheetView showGridLines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4" customWidth="1"/>
    <col min="4" max="4" width="66.00390625" style="14" customWidth="1"/>
    <col min="5" max="5" width="17.875" style="15" customWidth="1"/>
    <col min="6" max="6" width="3.00390625" style="1" customWidth="1"/>
    <col min="7" max="7" width="2.75390625" style="1" customWidth="1"/>
    <col min="8" max="8" width="53.25390625" style="54" customWidth="1"/>
    <col min="9" max="9" width="2.75390625" style="1" customWidth="1"/>
    <col min="10" max="10" width="6.625" style="1" bestFit="1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5" customHeight="1" thickBot="1">
      <c r="B1" s="5" t="s">
        <v>7</v>
      </c>
      <c r="C1" s="5"/>
      <c r="D1" s="5"/>
      <c r="E1" s="5"/>
      <c r="F1" s="5"/>
      <c r="G1" s="5"/>
      <c r="H1" s="53"/>
      <c r="I1" s="5"/>
      <c r="J1" s="5"/>
      <c r="K1" s="5"/>
      <c r="L1" s="5"/>
      <c r="M1" s="5"/>
    </row>
    <row r="2" spans="2:38" ht="11.25" customHeight="1">
      <c r="B2" s="16"/>
      <c r="C2" s="17"/>
      <c r="D2" s="17"/>
      <c r="E2" s="17"/>
      <c r="F2" s="1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50.25" customHeight="1">
      <c r="B3" s="19"/>
      <c r="C3" s="59" t="s">
        <v>159</v>
      </c>
      <c r="D3" s="59"/>
      <c r="E3" s="59"/>
      <c r="F3" s="20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8">
      <c r="B4" s="19"/>
      <c r="C4" s="76" t="str">
        <f>CONCATENATE('Динамика издержек'!C4," за ",'Динамика издержек'!G7," год")</f>
        <v>магазина № 555  за 2010 год</v>
      </c>
      <c r="D4" s="76"/>
      <c r="E4" s="76"/>
      <c r="F4" s="20"/>
      <c r="H4" s="55" t="s">
        <v>168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18">
      <c r="B5" s="19"/>
      <c r="C5" s="7"/>
      <c r="D5" s="7"/>
      <c r="E5" s="7"/>
      <c r="F5" s="20"/>
      <c r="H5" s="55" t="s">
        <v>169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38" ht="31.5">
      <c r="B6" s="21"/>
      <c r="C6" s="45" t="s">
        <v>0</v>
      </c>
      <c r="D6" s="45" t="s">
        <v>13</v>
      </c>
      <c r="E6" s="46" t="s">
        <v>162</v>
      </c>
      <c r="F6" s="20"/>
      <c r="H6" s="56" t="s">
        <v>170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2:20" s="8" customFormat="1" ht="25.5">
      <c r="B7" s="2"/>
      <c r="C7" s="9" t="s">
        <v>8</v>
      </c>
      <c r="D7" s="10" t="s">
        <v>160</v>
      </c>
      <c r="E7" s="31">
        <f>'А-з пок-лей по труду и ЗП'!I11*'А-з пок-лей по труду и ЗП'!F18</f>
        <v>10.654205607476635</v>
      </c>
      <c r="F7" s="3"/>
      <c r="H7" s="56" t="s">
        <v>171</v>
      </c>
      <c r="O7" s="11"/>
      <c r="P7" s="11"/>
      <c r="Q7" s="11"/>
      <c r="R7" s="11"/>
      <c r="S7" s="11"/>
      <c r="T7" s="11"/>
    </row>
    <row r="8" spans="2:20" s="8" customFormat="1" ht="25.5">
      <c r="B8" s="2"/>
      <c r="C8" s="9" t="s">
        <v>3</v>
      </c>
      <c r="D8" s="10" t="s">
        <v>161</v>
      </c>
      <c r="E8" s="31">
        <f>'А-з пок-лей по труду и ЗП'!I18*'А-з пок-лей по труду и ЗП'!G11</f>
        <v>19.34579439252336</v>
      </c>
      <c r="F8" s="3"/>
      <c r="H8" s="56" t="s">
        <v>172</v>
      </c>
      <c r="O8" s="11"/>
      <c r="P8" s="11"/>
      <c r="Q8" s="11"/>
      <c r="R8" s="11"/>
      <c r="S8" s="11"/>
      <c r="T8" s="11"/>
    </row>
    <row r="9" spans="2:20" s="8" customFormat="1" ht="25.5">
      <c r="B9" s="2"/>
      <c r="C9" s="9" t="s">
        <v>1</v>
      </c>
      <c r="D9" s="10" t="s">
        <v>119</v>
      </c>
      <c r="E9" s="31">
        <f>E7+E8</f>
        <v>29.999999999999993</v>
      </c>
      <c r="F9" s="3"/>
      <c r="H9" s="56" t="s">
        <v>173</v>
      </c>
      <c r="O9" s="11"/>
      <c r="P9" s="11"/>
      <c r="Q9" s="11"/>
      <c r="R9" s="11"/>
      <c r="S9" s="11"/>
      <c r="T9" s="11"/>
    </row>
    <row r="10" spans="2:20" s="12" customFormat="1" ht="39" thickBot="1">
      <c r="B10" s="4"/>
      <c r="C10" s="35"/>
      <c r="D10" s="35"/>
      <c r="E10" s="35"/>
      <c r="F10" s="34"/>
      <c r="H10" s="56" t="s">
        <v>174</v>
      </c>
      <c r="O10" s="11"/>
      <c r="P10" s="11"/>
      <c r="Q10" s="11"/>
      <c r="R10" s="11"/>
      <c r="S10" s="11"/>
      <c r="T10" s="11"/>
    </row>
    <row r="11" spans="5:8" ht="25.5">
      <c r="E11" s="50"/>
      <c r="H11" s="56" t="s">
        <v>175</v>
      </c>
    </row>
    <row r="12" spans="5:8" ht="12.75">
      <c r="E12" s="50"/>
      <c r="H12" s="56" t="s">
        <v>176</v>
      </c>
    </row>
    <row r="13" spans="4:12" ht="11.25">
      <c r="D13" s="95"/>
      <c r="E13" s="95"/>
      <c r="F13" s="96"/>
      <c r="G13" s="96"/>
      <c r="H13" s="96"/>
      <c r="I13" s="96"/>
      <c r="J13" s="96"/>
      <c r="K13" s="96"/>
      <c r="L13" s="96"/>
    </row>
    <row r="14" ht="38.25">
      <c r="H14" s="56" t="s">
        <v>178</v>
      </c>
    </row>
    <row r="15" ht="12.75">
      <c r="H15" s="56"/>
    </row>
    <row r="16" ht="12.75">
      <c r="H16" s="56"/>
    </row>
    <row r="17" ht="10.5">
      <c r="H17" s="57"/>
    </row>
    <row r="18" ht="12" customHeight="1">
      <c r="H18" s="57"/>
    </row>
    <row r="19" ht="12" customHeight="1">
      <c r="H19" s="57"/>
    </row>
    <row r="20" ht="12" customHeight="1">
      <c r="H20" s="57"/>
    </row>
    <row r="21" ht="12" customHeight="1">
      <c r="H21" s="58"/>
    </row>
    <row r="22" ht="12" customHeight="1">
      <c r="H22" s="58"/>
    </row>
    <row r="23" ht="12" customHeight="1">
      <c r="H23" s="58"/>
    </row>
    <row r="24" ht="12" customHeight="1">
      <c r="H24" s="58"/>
    </row>
  </sheetData>
  <sheetProtection/>
  <mergeCells count="4">
    <mergeCell ref="C3:E3"/>
    <mergeCell ref="C4:E4"/>
    <mergeCell ref="D13:E13"/>
    <mergeCell ref="F13:L13"/>
  </mergeCells>
  <hyperlinks>
    <hyperlink ref="H4" location="'Влияние пок-лей по труду и ЗП'!A1" display="Расчет влияния численности торговых работников и их средней заработной платы на расходы по оплату труда персонала"/>
    <hyperlink ref="H5" location="'Влияние выработки и СЗП'!A1" display="Расчет влияния выработки и средней заработной платы одного торгового работника на сумму расходов по оплате труда персонал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" min="1" max="2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O24"/>
  <sheetViews>
    <sheetView showGridLines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4" customWidth="1"/>
    <col min="4" max="4" width="55.75390625" style="14" customWidth="1"/>
    <col min="5" max="6" width="10.375" style="14" customWidth="1"/>
    <col min="7" max="7" width="11.375" style="14" customWidth="1"/>
    <col min="8" max="8" width="8.625" style="15" customWidth="1"/>
    <col min="9" max="9" width="3.00390625" style="1" customWidth="1"/>
    <col min="10" max="10" width="2.75390625" style="1" customWidth="1"/>
    <col min="11" max="11" width="53.25390625" style="54" customWidth="1"/>
    <col min="12" max="12" width="2.75390625" style="1" customWidth="1"/>
    <col min="13" max="13" width="6.625" style="1" bestFit="1" customWidth="1"/>
    <col min="14" max="14" width="2.75390625" style="1" customWidth="1"/>
    <col min="15" max="15" width="6.625" style="1" bestFit="1" customWidth="1"/>
    <col min="16" max="17" width="2.75390625" style="1" customWidth="1"/>
    <col min="18" max="22" width="3.25390625" style="1" bestFit="1" customWidth="1"/>
    <col min="23" max="23" width="4.75390625" style="1" bestFit="1" customWidth="1"/>
    <col min="24" max="16384" width="2.75390625" style="1" customWidth="1"/>
  </cols>
  <sheetData>
    <row r="1" spans="2:16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3"/>
      <c r="L1" s="5"/>
      <c r="M1" s="5"/>
      <c r="N1" s="5"/>
      <c r="O1" s="5"/>
      <c r="P1" s="5"/>
    </row>
    <row r="2" spans="2:41" ht="11.25" customHeight="1">
      <c r="B2" s="16"/>
      <c r="C2" s="17"/>
      <c r="D2" s="17"/>
      <c r="E2" s="17"/>
      <c r="F2" s="17"/>
      <c r="G2" s="17"/>
      <c r="H2" s="17"/>
      <c r="I2" s="18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ht="50.25" customHeight="1">
      <c r="B3" s="19"/>
      <c r="C3" s="59" t="s">
        <v>163</v>
      </c>
      <c r="D3" s="59"/>
      <c r="E3" s="59"/>
      <c r="F3" s="59"/>
      <c r="G3" s="59"/>
      <c r="H3" s="59"/>
      <c r="I3" s="20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2:41" ht="18">
      <c r="B4" s="19"/>
      <c r="C4" s="76" t="str">
        <f>CONCATENATE('Динамика издержек'!C4," за ",'Динамика издержек'!G7," год")</f>
        <v>магазина № 555  за 2010 год</v>
      </c>
      <c r="D4" s="76"/>
      <c r="E4" s="76"/>
      <c r="F4" s="76"/>
      <c r="G4" s="76"/>
      <c r="H4" s="76"/>
      <c r="I4" s="20"/>
      <c r="K4" s="55" t="s">
        <v>168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2:41" ht="18">
      <c r="B5" s="19"/>
      <c r="C5" s="7"/>
      <c r="D5" s="7"/>
      <c r="E5" s="7"/>
      <c r="F5" s="7"/>
      <c r="G5" s="7"/>
      <c r="H5" s="7"/>
      <c r="I5" s="20"/>
      <c r="K5" s="55" t="s">
        <v>169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2:41" ht="14.25">
      <c r="B6" s="21"/>
      <c r="C6" s="60" t="s">
        <v>0</v>
      </c>
      <c r="D6" s="60" t="s">
        <v>13</v>
      </c>
      <c r="E6" s="78" t="s">
        <v>164</v>
      </c>
      <c r="F6" s="79"/>
      <c r="G6" s="79"/>
      <c r="H6" s="80"/>
      <c r="I6" s="20"/>
      <c r="K6" s="56" t="s">
        <v>170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2:41" ht="25.5">
      <c r="B7" s="21"/>
      <c r="C7" s="61"/>
      <c r="D7" s="61"/>
      <c r="E7" s="45">
        <v>1</v>
      </c>
      <c r="F7" s="45">
        <v>2</v>
      </c>
      <c r="G7" s="45">
        <v>3</v>
      </c>
      <c r="H7" s="46">
        <v>4</v>
      </c>
      <c r="I7" s="20"/>
      <c r="K7" s="56" t="s">
        <v>171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2:23" s="8" customFormat="1" ht="25.5">
      <c r="B8" s="2"/>
      <c r="C8" s="9" t="s">
        <v>8</v>
      </c>
      <c r="D8" s="10" t="s">
        <v>41</v>
      </c>
      <c r="E8" s="31">
        <f>'Динамика осн. пок-лей'!G9</f>
        <v>6100</v>
      </c>
      <c r="F8" s="31">
        <f>'Динамика осн. пок-лей'!H9</f>
        <v>6900</v>
      </c>
      <c r="G8" s="31">
        <f>F8</f>
        <v>6900</v>
      </c>
      <c r="H8" s="31">
        <f>G8</f>
        <v>6900</v>
      </c>
      <c r="I8" s="3"/>
      <c r="K8" s="56" t="s">
        <v>172</v>
      </c>
      <c r="R8" s="11"/>
      <c r="S8" s="11"/>
      <c r="T8" s="11"/>
      <c r="U8" s="11"/>
      <c r="V8" s="11"/>
      <c r="W8" s="11"/>
    </row>
    <row r="9" spans="2:23" s="8" customFormat="1" ht="38.25">
      <c r="B9" s="2"/>
      <c r="C9" s="9" t="s">
        <v>3</v>
      </c>
      <c r="D9" s="10" t="s">
        <v>166</v>
      </c>
      <c r="E9" s="31">
        <f>'Динамика осн. пок-лей'!G17</f>
        <v>57.00934579439252</v>
      </c>
      <c r="F9" s="31">
        <f>E9</f>
        <v>57.00934579439252</v>
      </c>
      <c r="G9" s="31">
        <f>'Динамика осн. пок-лей'!H17</f>
        <v>61.06194690265487</v>
      </c>
      <c r="H9" s="31">
        <f>G9</f>
        <v>61.06194690265487</v>
      </c>
      <c r="I9" s="3"/>
      <c r="K9" s="56" t="s">
        <v>173</v>
      </c>
      <c r="R9" s="11"/>
      <c r="S9" s="11"/>
      <c r="T9" s="11"/>
      <c r="U9" s="11"/>
      <c r="V9" s="11"/>
      <c r="W9" s="11"/>
    </row>
    <row r="10" spans="2:23" s="8" customFormat="1" ht="38.25">
      <c r="B10" s="2"/>
      <c r="C10" s="9" t="s">
        <v>1</v>
      </c>
      <c r="D10" s="10" t="s">
        <v>165</v>
      </c>
      <c r="E10" s="31">
        <f>'А-з пок-лей по труду и ЗП'!F18</f>
        <v>1.7757009345794392</v>
      </c>
      <c r="F10" s="31">
        <f>E10</f>
        <v>1.7757009345794392</v>
      </c>
      <c r="G10" s="31">
        <f>F10</f>
        <v>1.7757009345794392</v>
      </c>
      <c r="H10" s="31">
        <f>'А-з пок-лей по труду и ЗП'!G18</f>
        <v>1.9469026548672566</v>
      </c>
      <c r="I10" s="3"/>
      <c r="K10" s="56" t="s">
        <v>174</v>
      </c>
      <c r="R10" s="11"/>
      <c r="S10" s="11"/>
      <c r="T10" s="11"/>
      <c r="U10" s="11"/>
      <c r="V10" s="11"/>
      <c r="W10" s="11"/>
    </row>
    <row r="11" spans="2:23" s="8" customFormat="1" ht="25.5">
      <c r="B11" s="2"/>
      <c r="C11" s="9" t="s">
        <v>2</v>
      </c>
      <c r="D11" s="10" t="s">
        <v>167</v>
      </c>
      <c r="E11" s="31">
        <f>E8/E9*E10</f>
        <v>190</v>
      </c>
      <c r="F11" s="31">
        <f>F8/F9*F10</f>
        <v>214.91803278688525</v>
      </c>
      <c r="G11" s="31">
        <f>G8/G9*G10</f>
        <v>200.65420560747663</v>
      </c>
      <c r="H11" s="31">
        <f>H8/H9*H10</f>
        <v>220</v>
      </c>
      <c r="I11" s="3"/>
      <c r="K11" s="56" t="s">
        <v>175</v>
      </c>
      <c r="R11" s="11"/>
      <c r="S11" s="11"/>
      <c r="T11" s="11"/>
      <c r="U11" s="11"/>
      <c r="V11" s="11"/>
      <c r="W11" s="11"/>
    </row>
    <row r="12" spans="2:23" s="12" customFormat="1" ht="13.5" thickBot="1">
      <c r="B12" s="4"/>
      <c r="C12" s="35"/>
      <c r="D12" s="35"/>
      <c r="E12" s="35"/>
      <c r="F12" s="35"/>
      <c r="G12" s="35"/>
      <c r="H12" s="35"/>
      <c r="I12" s="34"/>
      <c r="K12" s="56" t="s">
        <v>176</v>
      </c>
      <c r="R12" s="11"/>
      <c r="S12" s="11"/>
      <c r="T12" s="11"/>
      <c r="U12" s="11"/>
      <c r="V12" s="11"/>
      <c r="W12" s="11"/>
    </row>
    <row r="13" spans="8:11" ht="10.5">
      <c r="H13" s="50"/>
      <c r="K13" s="1"/>
    </row>
    <row r="14" spans="8:11" ht="38.25">
      <c r="H14" s="50"/>
      <c r="K14" s="56" t="s">
        <v>178</v>
      </c>
    </row>
    <row r="15" spans="4:15" ht="11.25">
      <c r="D15" s="95"/>
      <c r="E15" s="95"/>
      <c r="F15" s="95"/>
      <c r="G15" s="95"/>
      <c r="H15" s="95"/>
      <c r="I15" s="96"/>
      <c r="J15" s="96"/>
      <c r="K15" s="96"/>
      <c r="L15" s="96"/>
      <c r="M15" s="96"/>
      <c r="N15" s="96"/>
      <c r="O15" s="96"/>
    </row>
    <row r="16" ht="12" customHeight="1">
      <c r="K16" s="56"/>
    </row>
    <row r="17" ht="12" customHeight="1">
      <c r="K17" s="57"/>
    </row>
    <row r="18" ht="12" customHeight="1">
      <c r="K18" s="57"/>
    </row>
    <row r="19" ht="12" customHeight="1">
      <c r="K19" s="57"/>
    </row>
    <row r="20" ht="12" customHeight="1">
      <c r="K20" s="57"/>
    </row>
    <row r="21" ht="12" customHeight="1">
      <c r="K21" s="58"/>
    </row>
    <row r="22" ht="12" customHeight="1">
      <c r="K22" s="58"/>
    </row>
    <row r="23" ht="12" customHeight="1">
      <c r="K23" s="58"/>
    </row>
    <row r="24" ht="12" customHeight="1">
      <c r="K24" s="58"/>
    </row>
  </sheetData>
  <sheetProtection/>
  <mergeCells count="7">
    <mergeCell ref="C3:H3"/>
    <mergeCell ref="C4:H4"/>
    <mergeCell ref="D15:H15"/>
    <mergeCell ref="I15:O15"/>
    <mergeCell ref="E6:H6"/>
    <mergeCell ref="C6:C7"/>
    <mergeCell ref="D6:D7"/>
  </mergeCells>
  <hyperlinks>
    <hyperlink ref="K4" location="'Влияние пок-лей по труду и ЗП'!A1" display="Расчет влияния численности торговых работников и их средней заработной платы на расходы по оплату труда персонала"/>
    <hyperlink ref="K5" location="'Влияние выработки и СЗП'!A1" display="Расчет влияния выработки и средней заработной платы одного торгового работника на сумму расходов по оплате труда персонал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9" min="1" max="2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AS27"/>
  <sheetViews>
    <sheetView showGridLines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4" customWidth="1"/>
    <col min="4" max="4" width="38.75390625" style="14" customWidth="1"/>
    <col min="5" max="5" width="10.00390625" style="15" bestFit="1" customWidth="1"/>
    <col min="6" max="8" width="8.125" style="15" bestFit="1" customWidth="1"/>
    <col min="9" max="9" width="7.375" style="15" bestFit="1" customWidth="1"/>
    <col min="10" max="12" width="8.25390625" style="15" bestFit="1" customWidth="1"/>
    <col min="13" max="13" width="3.00390625" style="1" customWidth="1"/>
    <col min="14" max="14" width="2.75390625" style="1" customWidth="1"/>
    <col min="15" max="15" width="53.25390625" style="54" customWidth="1"/>
    <col min="16" max="16" width="2.75390625" style="1" customWidth="1"/>
    <col min="17" max="17" width="6.625" style="1" bestFit="1" customWidth="1"/>
    <col min="18" max="18" width="2.75390625" style="1" customWidth="1"/>
    <col min="19" max="19" width="6.625" style="1" bestFit="1" customWidth="1"/>
    <col min="20" max="21" width="2.75390625" style="1" customWidth="1"/>
    <col min="22" max="26" width="3.25390625" style="1" bestFit="1" customWidth="1"/>
    <col min="27" max="27" width="4.75390625" style="1" bestFit="1" customWidth="1"/>
    <col min="28" max="16384" width="2.75390625" style="1" customWidth="1"/>
  </cols>
  <sheetData>
    <row r="1" spans="2:20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3"/>
      <c r="P1" s="5"/>
      <c r="Q1" s="5"/>
      <c r="R1" s="5"/>
      <c r="S1" s="5"/>
      <c r="T1" s="5"/>
    </row>
    <row r="2" spans="2:45" ht="11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2:45" ht="18">
      <c r="B3" s="19"/>
      <c r="C3" s="59" t="s">
        <v>57</v>
      </c>
      <c r="D3" s="59"/>
      <c r="E3" s="59"/>
      <c r="F3" s="59"/>
      <c r="G3" s="59"/>
      <c r="H3" s="59"/>
      <c r="I3" s="59"/>
      <c r="J3" s="59"/>
      <c r="K3" s="59"/>
      <c r="L3" s="59"/>
      <c r="M3" s="20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2:45" ht="18" customHeight="1">
      <c r="B4" s="19"/>
      <c r="C4" s="68" t="str">
        <f>'Динамика осн. пок-лей'!C4:K4</f>
        <v>магазина № 555 </v>
      </c>
      <c r="D4" s="68"/>
      <c r="E4" s="68"/>
      <c r="F4" s="68"/>
      <c r="G4" s="66" t="str">
        <f>CONCATENATE("за ",E7,"-",G7," годы")</f>
        <v>за 2008-2010 годы</v>
      </c>
      <c r="H4" s="66"/>
      <c r="I4" s="66"/>
      <c r="J4" s="66"/>
      <c r="K4" s="66"/>
      <c r="L4" s="66"/>
      <c r="M4" s="20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2:45" ht="12.75" customHeight="1">
      <c r="B5" s="19"/>
      <c r="C5" s="7"/>
      <c r="D5" s="7"/>
      <c r="E5" s="7"/>
      <c r="F5" s="7"/>
      <c r="G5" s="7"/>
      <c r="H5" s="7"/>
      <c r="I5" s="7"/>
      <c r="J5" s="7"/>
      <c r="K5" s="7"/>
      <c r="L5" s="7"/>
      <c r="M5" s="20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2:45" ht="14.25">
      <c r="B6" s="21"/>
      <c r="C6" s="69" t="s">
        <v>0</v>
      </c>
      <c r="D6" s="69" t="s">
        <v>13</v>
      </c>
      <c r="E6" s="70" t="s">
        <v>15</v>
      </c>
      <c r="F6" s="70"/>
      <c r="G6" s="70"/>
      <c r="H6" s="70" t="s">
        <v>35</v>
      </c>
      <c r="I6" s="70"/>
      <c r="J6" s="70" t="s">
        <v>36</v>
      </c>
      <c r="K6" s="70"/>
      <c r="L6" s="70" t="str">
        <f>CONCATENATE(F7," к ",E7,", %")</f>
        <v>2009 к 2008, %</v>
      </c>
      <c r="M6" s="20"/>
      <c r="O6" s="55" t="s">
        <v>168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2:45" ht="14.25">
      <c r="B7" s="21"/>
      <c r="C7" s="69"/>
      <c r="D7" s="69"/>
      <c r="E7" s="45">
        <f>'Динамика осн. пок-лей'!F7</f>
        <v>2008</v>
      </c>
      <c r="F7" s="45">
        <f>'Динамика осн. пок-лей'!G7</f>
        <v>2009</v>
      </c>
      <c r="G7" s="45">
        <f>'Динамика осн. пок-лей'!H7</f>
        <v>2010</v>
      </c>
      <c r="H7" s="45" t="str">
        <f>CONCATENATE("от ",E7)</f>
        <v>от 2008</v>
      </c>
      <c r="I7" s="45" t="str">
        <f>CONCATENATE("от ",F7)</f>
        <v>от 2009</v>
      </c>
      <c r="J7" s="45">
        <f>E7</f>
        <v>2008</v>
      </c>
      <c r="K7" s="45">
        <f>F7</f>
        <v>2009</v>
      </c>
      <c r="L7" s="70"/>
      <c r="M7" s="20"/>
      <c r="O7" s="55" t="s">
        <v>169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2:27" s="8" customFormat="1" ht="25.5">
      <c r="B8" s="2"/>
      <c r="C8" s="9" t="s">
        <v>8</v>
      </c>
      <c r="D8" s="10" t="s">
        <v>41</v>
      </c>
      <c r="E8" s="31">
        <f>'Динамика осн. пок-лей'!F9</f>
        <v>5500</v>
      </c>
      <c r="F8" s="31">
        <f>'Динамика осн. пок-лей'!G9</f>
        <v>6100</v>
      </c>
      <c r="G8" s="31">
        <f>'Динамика осн. пок-лей'!H9</f>
        <v>6900</v>
      </c>
      <c r="H8" s="31">
        <f>G8-E8</f>
        <v>1400</v>
      </c>
      <c r="I8" s="31">
        <f>G8-F8</f>
        <v>800</v>
      </c>
      <c r="J8" s="33">
        <f>G8/E8</f>
        <v>1.2545454545454546</v>
      </c>
      <c r="K8" s="33">
        <f>G8/F8</f>
        <v>1.1311475409836065</v>
      </c>
      <c r="L8" s="33">
        <f>F8/E8</f>
        <v>1.1090909090909091</v>
      </c>
      <c r="M8" s="3"/>
      <c r="O8" s="56" t="s">
        <v>170</v>
      </c>
      <c r="V8" s="11"/>
      <c r="W8" s="11"/>
      <c r="X8" s="11"/>
      <c r="Y8" s="11"/>
      <c r="Z8" s="11"/>
      <c r="AA8" s="11"/>
    </row>
    <row r="9" spans="2:27" s="8" customFormat="1" ht="25.5">
      <c r="B9" s="2"/>
      <c r="C9" s="9" t="s">
        <v>3</v>
      </c>
      <c r="D9" s="10" t="s">
        <v>47</v>
      </c>
      <c r="E9" s="31">
        <f>'Динамика осн. пок-лей'!F11</f>
        <v>494.4</v>
      </c>
      <c r="F9" s="31">
        <f>'Динамика осн. пок-лей'!G11</f>
        <v>524.81</v>
      </c>
      <c r="G9" s="31">
        <f>'Динамика осн. пок-лей'!H11</f>
        <v>574.22</v>
      </c>
      <c r="H9" s="31">
        <f>G9-E9</f>
        <v>79.82000000000005</v>
      </c>
      <c r="I9" s="31">
        <f>G9-F9</f>
        <v>49.41000000000008</v>
      </c>
      <c r="J9" s="33">
        <f>G9/E9</f>
        <v>1.161448220064725</v>
      </c>
      <c r="K9" s="33">
        <f aca="true" t="shared" si="0" ref="K9:K16">G9/F9</f>
        <v>1.0941483584535356</v>
      </c>
      <c r="L9" s="33">
        <f aca="true" t="shared" si="1" ref="L9:L16">F9/E9</f>
        <v>1.0615088996763753</v>
      </c>
      <c r="M9" s="3"/>
      <c r="O9" s="56" t="s">
        <v>171</v>
      </c>
      <c r="V9" s="11"/>
      <c r="W9" s="11"/>
      <c r="X9" s="11"/>
      <c r="Y9" s="11"/>
      <c r="Z9" s="11"/>
      <c r="AA9" s="11"/>
    </row>
    <row r="10" spans="2:27" s="8" customFormat="1" ht="25.5">
      <c r="B10" s="2"/>
      <c r="C10" s="9" t="s">
        <v>1</v>
      </c>
      <c r="D10" s="10" t="s">
        <v>42</v>
      </c>
      <c r="E10" s="33">
        <f>'Динамика осн. пок-лей'!F12</f>
        <v>0.08989090909090909</v>
      </c>
      <c r="F10" s="33">
        <f>'Динамика осн. пок-лей'!G12</f>
        <v>0.08603442622950819</v>
      </c>
      <c r="G10" s="33">
        <f>'Динамика осн. пок-лей'!H12</f>
        <v>0.08322028985507247</v>
      </c>
      <c r="H10" s="33">
        <f>G10-E10</f>
        <v>-0.006670619235836617</v>
      </c>
      <c r="I10" s="33">
        <f>G10-F10</f>
        <v>-0.0028141363744357134</v>
      </c>
      <c r="J10" s="33">
        <f>G10/E10</f>
        <v>0.9257920594718823</v>
      </c>
      <c r="K10" s="33">
        <f t="shared" si="0"/>
        <v>0.9672905777632708</v>
      </c>
      <c r="L10" s="33">
        <f t="shared" si="1"/>
        <v>0.9570981882327974</v>
      </c>
      <c r="M10" s="3"/>
      <c r="O10" s="56" t="s">
        <v>172</v>
      </c>
      <c r="V10" s="11"/>
      <c r="W10" s="11"/>
      <c r="X10" s="11"/>
      <c r="Y10" s="11"/>
      <c r="Z10" s="11"/>
      <c r="AA10" s="11"/>
    </row>
    <row r="11" spans="2:27" s="8" customFormat="1" ht="25.5">
      <c r="B11" s="2"/>
      <c r="C11" s="9" t="s">
        <v>2</v>
      </c>
      <c r="D11" s="10" t="s">
        <v>43</v>
      </c>
      <c r="E11" s="32"/>
      <c r="F11" s="32"/>
      <c r="G11" s="32"/>
      <c r="H11" s="32"/>
      <c r="I11" s="32"/>
      <c r="J11" s="32"/>
      <c r="K11" s="32"/>
      <c r="L11" s="13"/>
      <c r="M11" s="3"/>
      <c r="O11" s="56" t="s">
        <v>173</v>
      </c>
      <c r="V11" s="11"/>
      <c r="W11" s="11"/>
      <c r="X11" s="11"/>
      <c r="Y11" s="11"/>
      <c r="Z11" s="11"/>
      <c r="AA11" s="11"/>
    </row>
    <row r="12" spans="2:27" s="8" customFormat="1" ht="38.25">
      <c r="B12" s="2"/>
      <c r="C12" s="9" t="s">
        <v>37</v>
      </c>
      <c r="D12" s="24" t="s">
        <v>44</v>
      </c>
      <c r="E12" s="32">
        <v>100</v>
      </c>
      <c r="F12" s="32">
        <v>120</v>
      </c>
      <c r="G12" s="32">
        <v>135</v>
      </c>
      <c r="H12" s="31">
        <f>G12-E12</f>
        <v>35</v>
      </c>
      <c r="I12" s="31">
        <f>G12-F12</f>
        <v>15</v>
      </c>
      <c r="J12" s="33">
        <f>G12/E12</f>
        <v>1.35</v>
      </c>
      <c r="K12" s="33">
        <f t="shared" si="0"/>
        <v>1.125</v>
      </c>
      <c r="L12" s="33">
        <f t="shared" si="1"/>
        <v>1.2</v>
      </c>
      <c r="M12" s="3"/>
      <c r="O12" s="56" t="s">
        <v>174</v>
      </c>
      <c r="V12" s="11"/>
      <c r="W12" s="11"/>
      <c r="X12" s="11"/>
      <c r="Y12" s="11"/>
      <c r="Z12" s="11"/>
      <c r="AA12" s="11"/>
    </row>
    <row r="13" spans="2:27" s="8" customFormat="1" ht="25.5">
      <c r="B13" s="2"/>
      <c r="C13" s="9" t="s">
        <v>38</v>
      </c>
      <c r="D13" s="24" t="s">
        <v>45</v>
      </c>
      <c r="E13" s="33">
        <f>E12/E8</f>
        <v>0.01818181818181818</v>
      </c>
      <c r="F13" s="33">
        <f>F12/F8</f>
        <v>0.019672131147540985</v>
      </c>
      <c r="G13" s="33">
        <f>G12/G8</f>
        <v>0.01956521739130435</v>
      </c>
      <c r="H13" s="33">
        <f>G13-E13</f>
        <v>0.0013833992094861684</v>
      </c>
      <c r="I13" s="33">
        <f>G13-F13</f>
        <v>-0.00010691375623663596</v>
      </c>
      <c r="J13" s="33">
        <f>G13/E13</f>
        <v>1.0760869565217392</v>
      </c>
      <c r="K13" s="33">
        <f t="shared" si="0"/>
        <v>0.9945652173913043</v>
      </c>
      <c r="L13" s="33">
        <f t="shared" si="1"/>
        <v>1.0819672131147542</v>
      </c>
      <c r="M13" s="3"/>
      <c r="O13" s="56" t="s">
        <v>175</v>
      </c>
      <c r="V13" s="11"/>
      <c r="W13" s="11"/>
      <c r="X13" s="11"/>
      <c r="Y13" s="11"/>
      <c r="Z13" s="11"/>
      <c r="AA13" s="11"/>
    </row>
    <row r="14" spans="2:27" s="8" customFormat="1" ht="12.75">
      <c r="B14" s="2"/>
      <c r="C14" s="9" t="s">
        <v>4</v>
      </c>
      <c r="D14" s="10" t="s">
        <v>46</v>
      </c>
      <c r="E14" s="33"/>
      <c r="F14" s="33"/>
      <c r="G14" s="33"/>
      <c r="H14" s="33"/>
      <c r="I14" s="33"/>
      <c r="J14" s="13"/>
      <c r="K14" s="13"/>
      <c r="L14" s="13"/>
      <c r="M14" s="3"/>
      <c r="O14" s="56" t="s">
        <v>176</v>
      </c>
      <c r="V14" s="11"/>
      <c r="W14" s="11"/>
      <c r="X14" s="11"/>
      <c r="Y14" s="11"/>
      <c r="Z14" s="11"/>
      <c r="AA14" s="11"/>
    </row>
    <row r="15" spans="2:27" s="8" customFormat="1" ht="38.25">
      <c r="B15" s="2"/>
      <c r="C15" s="9" t="s">
        <v>39</v>
      </c>
      <c r="D15" s="24" t="s">
        <v>48</v>
      </c>
      <c r="E15" s="31">
        <f>E8/E9</f>
        <v>11.124595469255665</v>
      </c>
      <c r="F15" s="31">
        <f>F8/F9</f>
        <v>11.62325413006612</v>
      </c>
      <c r="G15" s="31">
        <f>G8/G9</f>
        <v>12.01630037267946</v>
      </c>
      <c r="H15" s="31">
        <f>G15-E15</f>
        <v>0.8917049034237952</v>
      </c>
      <c r="I15" s="31">
        <f>G15-F15</f>
        <v>0.3930462426133392</v>
      </c>
      <c r="J15" s="33">
        <f>G15/E15</f>
        <v>1.0801561644095863</v>
      </c>
      <c r="K15" s="33">
        <f t="shared" si="0"/>
        <v>1.0338155079649027</v>
      </c>
      <c r="L15" s="33">
        <f t="shared" si="1"/>
        <v>1.0448248803463072</v>
      </c>
      <c r="M15" s="3"/>
      <c r="O15" s="56" t="s">
        <v>177</v>
      </c>
      <c r="V15" s="11"/>
      <c r="W15" s="11"/>
      <c r="X15" s="11"/>
      <c r="Y15" s="11"/>
      <c r="Z15" s="11"/>
      <c r="AA15" s="11"/>
    </row>
    <row r="16" spans="2:27" s="8" customFormat="1" ht="38.25">
      <c r="B16" s="2"/>
      <c r="C16" s="9" t="s">
        <v>40</v>
      </c>
      <c r="D16" s="24" t="s">
        <v>49</v>
      </c>
      <c r="E16" s="31">
        <f>E8/E12</f>
        <v>55</v>
      </c>
      <c r="F16" s="31">
        <f>F8/F12</f>
        <v>50.833333333333336</v>
      </c>
      <c r="G16" s="31">
        <f>G8/G12</f>
        <v>51.111111111111114</v>
      </c>
      <c r="H16" s="31">
        <f>G16-E16</f>
        <v>-3.8888888888888857</v>
      </c>
      <c r="I16" s="31">
        <f>G16-F16</f>
        <v>0.27777777777777857</v>
      </c>
      <c r="J16" s="33">
        <f>G16/E16</f>
        <v>0.9292929292929294</v>
      </c>
      <c r="K16" s="33">
        <f t="shared" si="0"/>
        <v>1.005464480874317</v>
      </c>
      <c r="L16" s="33">
        <f t="shared" si="1"/>
        <v>0.9242424242424243</v>
      </c>
      <c r="M16" s="3"/>
      <c r="O16" s="56" t="s">
        <v>178</v>
      </c>
      <c r="V16" s="11"/>
      <c r="W16" s="11"/>
      <c r="X16" s="11"/>
      <c r="Y16" s="11"/>
      <c r="Z16" s="11"/>
      <c r="AA16" s="11"/>
    </row>
    <row r="17" spans="2:27" s="8" customFormat="1" ht="12.75">
      <c r="B17" s="2"/>
      <c r="C17" s="36"/>
      <c r="D17" s="37"/>
      <c r="E17" s="38"/>
      <c r="F17" s="38"/>
      <c r="G17" s="38"/>
      <c r="H17" s="38"/>
      <c r="I17" s="38"/>
      <c r="J17" s="38"/>
      <c r="K17" s="38"/>
      <c r="L17" s="39"/>
      <c r="M17" s="3"/>
      <c r="O17" s="57"/>
      <c r="V17" s="11"/>
      <c r="W17" s="11"/>
      <c r="X17" s="11"/>
      <c r="Y17" s="11"/>
      <c r="Z17" s="11"/>
      <c r="AA17" s="11"/>
    </row>
    <row r="18" spans="2:27" s="12" customFormat="1" ht="25.5">
      <c r="B18" s="2"/>
      <c r="C18" s="36"/>
      <c r="D18" s="40" t="s">
        <v>50</v>
      </c>
      <c r="E18" s="41"/>
      <c r="F18" s="41"/>
      <c r="G18" s="41"/>
      <c r="H18" s="41"/>
      <c r="I18" s="41"/>
      <c r="J18" s="41"/>
      <c r="K18" s="41"/>
      <c r="L18" s="39"/>
      <c r="M18" s="3"/>
      <c r="O18" s="57"/>
      <c r="V18" s="11"/>
      <c r="W18" s="11"/>
      <c r="X18" s="11"/>
      <c r="Y18" s="11"/>
      <c r="Z18" s="11"/>
      <c r="AA18" s="11"/>
    </row>
    <row r="19" spans="2:27" s="12" customFormat="1" ht="12.75">
      <c r="B19" s="2"/>
      <c r="C19" s="36"/>
      <c r="D19" s="37" t="str">
        <f>CONCATENATE(G7," по отношению к ",E7)</f>
        <v>2010 по отношению к 2008</v>
      </c>
      <c r="E19" s="38">
        <f>G8*H10*(-1)</f>
        <v>46.02727272727265</v>
      </c>
      <c r="F19" s="41" t="s">
        <v>51</v>
      </c>
      <c r="G19" s="41"/>
      <c r="H19" s="41"/>
      <c r="I19" s="41"/>
      <c r="J19" s="41"/>
      <c r="K19" s="41"/>
      <c r="L19" s="39"/>
      <c r="M19" s="3"/>
      <c r="O19" s="57"/>
      <c r="V19" s="11"/>
      <c r="W19" s="11"/>
      <c r="X19" s="11"/>
      <c r="Y19" s="11"/>
      <c r="Z19" s="11"/>
      <c r="AA19" s="11"/>
    </row>
    <row r="20" spans="2:27" s="12" customFormat="1" ht="12.75">
      <c r="B20" s="2"/>
      <c r="C20" s="36"/>
      <c r="D20" s="37" t="str">
        <f>CONCATENATE(G7," по отношению к ",F7)</f>
        <v>2010 по отношению к 2009</v>
      </c>
      <c r="E20" s="38">
        <f>G8*I10*(-1)</f>
        <v>19.417540983606422</v>
      </c>
      <c r="F20" s="41" t="s">
        <v>51</v>
      </c>
      <c r="G20" s="41"/>
      <c r="H20" s="41"/>
      <c r="I20" s="41"/>
      <c r="J20" s="41"/>
      <c r="K20" s="41"/>
      <c r="L20" s="39"/>
      <c r="M20" s="3"/>
      <c r="O20" s="57"/>
      <c r="V20" s="11"/>
      <c r="W20" s="11"/>
      <c r="X20" s="11"/>
      <c r="Y20" s="11"/>
      <c r="Z20" s="11"/>
      <c r="AA20" s="11"/>
    </row>
    <row r="21" spans="2:27" s="12" customFormat="1" ht="38.25">
      <c r="B21" s="2"/>
      <c r="C21" s="36"/>
      <c r="D21" s="40" t="s">
        <v>52</v>
      </c>
      <c r="E21" s="41"/>
      <c r="F21" s="41"/>
      <c r="G21" s="41"/>
      <c r="H21" s="41"/>
      <c r="I21" s="41"/>
      <c r="J21" s="41"/>
      <c r="K21" s="41"/>
      <c r="L21" s="39"/>
      <c r="M21" s="3"/>
      <c r="O21" s="58"/>
      <c r="V21" s="11"/>
      <c r="W21" s="11"/>
      <c r="X21" s="11"/>
      <c r="Y21" s="11"/>
      <c r="Z21" s="11"/>
      <c r="AA21" s="11"/>
    </row>
    <row r="22" spans="2:27" s="12" customFormat="1" ht="12.75">
      <c r="B22" s="2"/>
      <c r="C22" s="36"/>
      <c r="D22" s="37" t="str">
        <f>D19</f>
        <v>2010 по отношению к 2008</v>
      </c>
      <c r="E22" s="38">
        <f>G8*H13*(-1)</f>
        <v>-9.545454545454563</v>
      </c>
      <c r="F22" s="41" t="s">
        <v>51</v>
      </c>
      <c r="G22" s="41"/>
      <c r="H22" s="41"/>
      <c r="I22" s="41"/>
      <c r="J22" s="41"/>
      <c r="K22" s="41"/>
      <c r="L22" s="39"/>
      <c r="M22" s="3"/>
      <c r="O22" s="58"/>
      <c r="V22" s="11"/>
      <c r="W22" s="11"/>
      <c r="X22" s="11"/>
      <c r="Y22" s="11"/>
      <c r="Z22" s="11"/>
      <c r="AA22" s="11"/>
    </row>
    <row r="23" spans="2:27" s="12" customFormat="1" ht="12.75">
      <c r="B23" s="2"/>
      <c r="C23" s="36"/>
      <c r="D23" s="37" t="str">
        <f>D20</f>
        <v>2010 по отношению к 2009</v>
      </c>
      <c r="E23" s="38">
        <f>G8*I13*(-1)</f>
        <v>0.7377049180327881</v>
      </c>
      <c r="F23" s="41" t="s">
        <v>51</v>
      </c>
      <c r="G23" s="41"/>
      <c r="H23" s="41"/>
      <c r="I23" s="41"/>
      <c r="J23" s="41"/>
      <c r="K23" s="41"/>
      <c r="L23" s="39"/>
      <c r="M23" s="3"/>
      <c r="O23" s="58"/>
      <c r="V23" s="11"/>
      <c r="W23" s="11"/>
      <c r="X23" s="11"/>
      <c r="Y23" s="11"/>
      <c r="Z23" s="11"/>
      <c r="AA23" s="11"/>
    </row>
    <row r="24" spans="2:27" s="12" customFormat="1" ht="38.25">
      <c r="B24" s="2"/>
      <c r="C24" s="36"/>
      <c r="D24" s="40" t="str">
        <f>CONCATENATE("Фактический показатель розничного товарооборота за ",G7," г. в сопоставимых ценах")</f>
        <v>Фактический показатель розничного товарооборота за 2010 г. в сопоставимых ценах</v>
      </c>
      <c r="E24" s="38">
        <f>'Динамика осн. пок-лей'!H10/'Динамика осн. пок-лей'!H11</f>
        <v>11.633171954999826</v>
      </c>
      <c r="F24" s="41" t="s">
        <v>53</v>
      </c>
      <c r="G24" s="41"/>
      <c r="H24" s="41"/>
      <c r="I24" s="41"/>
      <c r="J24" s="41"/>
      <c r="K24" s="41"/>
      <c r="L24" s="39"/>
      <c r="M24" s="3"/>
      <c r="O24" s="58"/>
      <c r="V24" s="11"/>
      <c r="W24" s="11"/>
      <c r="X24" s="11"/>
      <c r="Y24" s="11"/>
      <c r="Z24" s="11"/>
      <c r="AA24" s="11"/>
    </row>
    <row r="25" spans="2:27" s="12" customFormat="1" ht="25.5" customHeight="1">
      <c r="B25" s="2"/>
      <c r="C25" s="36"/>
      <c r="D25" s="67" t="s">
        <v>55</v>
      </c>
      <c r="E25" s="38">
        <f>G15-E24</f>
        <v>0.3831284176796341</v>
      </c>
      <c r="F25" s="41" t="s">
        <v>53</v>
      </c>
      <c r="G25" s="41"/>
      <c r="H25" s="41"/>
      <c r="I25" s="41"/>
      <c r="J25" s="41"/>
      <c r="K25" s="41"/>
      <c r="L25" s="39"/>
      <c r="M25" s="3"/>
      <c r="O25" s="54"/>
      <c r="V25" s="11"/>
      <c r="W25" s="11"/>
      <c r="X25" s="11"/>
      <c r="Y25" s="11"/>
      <c r="Z25" s="11"/>
      <c r="AA25" s="11"/>
    </row>
    <row r="26" spans="2:27" s="12" customFormat="1" ht="12.75">
      <c r="B26" s="2"/>
      <c r="C26" s="36"/>
      <c r="D26" s="67"/>
      <c r="E26" s="38">
        <f>E25*E15</f>
        <v>4.26214865946195</v>
      </c>
      <c r="F26" s="41" t="s">
        <v>54</v>
      </c>
      <c r="G26" s="41"/>
      <c r="H26" s="41"/>
      <c r="I26" s="41"/>
      <c r="J26" s="41"/>
      <c r="K26" s="41"/>
      <c r="L26" s="39"/>
      <c r="M26" s="3"/>
      <c r="O26" s="54"/>
      <c r="V26" s="11"/>
      <c r="W26" s="11"/>
      <c r="X26" s="11"/>
      <c r="Y26" s="11"/>
      <c r="Z26" s="11"/>
      <c r="AA26" s="11"/>
    </row>
    <row r="27" spans="2:27" s="12" customFormat="1" ht="11.25" thickBot="1">
      <c r="B27" s="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4"/>
      <c r="O27" s="54"/>
      <c r="V27" s="11"/>
      <c r="W27" s="11"/>
      <c r="X27" s="11"/>
      <c r="Y27" s="11"/>
      <c r="Z27" s="11"/>
      <c r="AA27" s="11"/>
    </row>
  </sheetData>
  <sheetProtection/>
  <mergeCells count="10">
    <mergeCell ref="D25:D26"/>
    <mergeCell ref="C4:F4"/>
    <mergeCell ref="G4:L4"/>
    <mergeCell ref="C3:L3"/>
    <mergeCell ref="C6:C7"/>
    <mergeCell ref="D6:D7"/>
    <mergeCell ref="E6:G6"/>
    <mergeCell ref="H6:I6"/>
    <mergeCell ref="J6:K6"/>
    <mergeCell ref="L6:L7"/>
  </mergeCells>
  <hyperlinks>
    <hyperlink ref="O6" location="'Динамика осн. пок-лей'!A1" display="Динамика основных показателей деятельности "/>
    <hyperlink ref="O7" location="'Динамика издержек'!A1" display="Информация о динамике издержек обращения "/>
    <hyperlink ref="O8" location="'А-з состава и стр-ры издержек'!A1" display="Анализ состава и структуры издержек обращения"/>
    <hyperlink ref="O9" location="'А-з издержек по эк. эл-там'!A1" display="Анализ издержек обращения по экономическим элементам"/>
    <hyperlink ref="O10" location="'Влияние динамики т-оборота'!A1" display="Алгоритм расчета влияния динамики товарооборота на сумму и уровень издержек обращения"/>
    <hyperlink ref="O11" location="'Влияние стр-ры т-оборота'!A1" display="Расчет влияния изменения структуры товарооборота на уровень издержек обращения"/>
    <hyperlink ref="O12" location="'Влияние товарных запасов'!A1" display="Влияние средних товарных запасов и товарооборачиваемости на сумму расходов на хранение, доработку, сортировку и упаковку товаров "/>
    <hyperlink ref="O13" location="'Обобщение влияния ф-ров'!A1" display="Обобщение данных анализа влияния факторов на общую сумму и уровень издержек обращения"/>
    <hyperlink ref="O14" location="'А-з пок-лей по труду и ЗП'!A1" display="Анализ показателей по труду и заработной плате"/>
    <hyperlink ref="O15" location="'Влияние пок-лей по труду и ЗП'!A1" display="Расчет влияния численности торговых работников и их средней заработной платы на расходы по оплату труда персонала"/>
    <hyperlink ref="O16" location="'Влияние выработки и СЗП'!A1" display="Расчет влияния выработки и средней заработной платы одного торгового работника на сумму расходов по оплате труда персонала"/>
  </hyperlinks>
  <printOptions/>
  <pageMargins left="0.7" right="0.7" top="0.75" bottom="0.75" header="0.3" footer="0.3"/>
  <pageSetup horizontalDpi="300" verticalDpi="300" orientation="portrait" paperSize="9" scale="7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3" min="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AY29"/>
  <sheetViews>
    <sheetView showGridLines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4" customWidth="1"/>
    <col min="4" max="4" width="26.375" style="14" customWidth="1"/>
    <col min="5" max="5" width="8.125" style="15" bestFit="1" customWidth="1"/>
    <col min="6" max="6" width="11.25390625" style="15" customWidth="1"/>
    <col min="7" max="7" width="8.125" style="15" bestFit="1" customWidth="1"/>
    <col min="8" max="8" width="11.00390625" style="15" customWidth="1"/>
    <col min="9" max="9" width="8.125" style="15" bestFit="1" customWidth="1"/>
    <col min="10" max="10" width="10.375" style="15" customWidth="1"/>
    <col min="11" max="11" width="8.125" style="15" bestFit="1" customWidth="1"/>
    <col min="12" max="12" width="10.25390625" style="15" customWidth="1"/>
    <col min="13" max="13" width="6.625" style="15" bestFit="1" customWidth="1"/>
    <col min="14" max="14" width="10.875" style="15" customWidth="1"/>
    <col min="15" max="15" width="11.00390625" style="15" customWidth="1"/>
    <col min="16" max="17" width="10.75390625" style="15" customWidth="1"/>
    <col min="18" max="18" width="10.875" style="15" customWidth="1"/>
    <col min="19" max="19" width="3.00390625" style="1" customWidth="1"/>
    <col min="20" max="20" width="2.75390625" style="1" customWidth="1"/>
    <col min="21" max="21" width="53.25390625" style="54" customWidth="1"/>
    <col min="22" max="22" width="2.75390625" style="1" customWidth="1"/>
    <col min="23" max="23" width="6.625" style="1" bestFit="1" customWidth="1"/>
    <col min="24" max="24" width="2.75390625" style="1" customWidth="1"/>
    <col min="25" max="25" width="6.625" style="1" bestFit="1" customWidth="1"/>
    <col min="26" max="27" width="2.75390625" style="1" customWidth="1"/>
    <col min="28" max="32" width="3.25390625" style="1" bestFit="1" customWidth="1"/>
    <col min="33" max="33" width="4.75390625" style="1" bestFit="1" customWidth="1"/>
    <col min="34" max="16384" width="2.75390625" style="1" customWidth="1"/>
  </cols>
  <sheetData>
    <row r="1" spans="2:26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3"/>
      <c r="V1" s="5"/>
      <c r="W1" s="5"/>
      <c r="X1" s="5"/>
      <c r="Y1" s="5"/>
      <c r="Z1" s="5"/>
    </row>
    <row r="2" spans="2:51" ht="11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2:51" ht="18" customHeight="1">
      <c r="B3" s="19"/>
      <c r="C3" s="59" t="s">
        <v>58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20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2:51" ht="18" customHeight="1">
      <c r="B4" s="19"/>
      <c r="C4" s="76" t="str">
        <f>CONCATENATE('Динамика издержек'!C4,'Динамика издержек'!G4)</f>
        <v>магазина № 555 за 2008-2010 годы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20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2:51" ht="12.75" customHeight="1">
      <c r="B5" s="1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0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2:51" ht="14.25">
      <c r="B6" s="21"/>
      <c r="C6" s="69" t="s">
        <v>0</v>
      </c>
      <c r="D6" s="69" t="s">
        <v>70</v>
      </c>
      <c r="E6" s="77" t="str">
        <f>CONCATENATE("Фактически за ",'Динамика издержек'!E7," год")</f>
        <v>Фактически за 2008 год</v>
      </c>
      <c r="F6" s="77"/>
      <c r="G6" s="77" t="str">
        <f>CONCATENATE("Фактически за ",'Динамика издержек'!F7," год")</f>
        <v>Фактически за 2009 год</v>
      </c>
      <c r="H6" s="77"/>
      <c r="I6" s="77" t="str">
        <f>CONCATENATE("Фактически за ",'Динамика издержек'!G7," год")</f>
        <v>Фактически за 2010 год</v>
      </c>
      <c r="J6" s="77"/>
      <c r="K6" s="78" t="str">
        <f>CONCATENATE("Отклонение ",'Динамика издержек'!G7," г.")</f>
        <v>Отклонение 2010 г.</v>
      </c>
      <c r="L6" s="79"/>
      <c r="M6" s="79"/>
      <c r="N6" s="80"/>
      <c r="O6" s="77" t="str">
        <f>CONCATENATE('Динамика издержек'!G7," по отношению к ",'Динамика издержек'!F7," году")</f>
        <v>2010 по отношению к 2009 году</v>
      </c>
      <c r="P6" s="77"/>
      <c r="Q6" s="77" t="str">
        <f>CONCATENATE('Динамика издержек'!G7," по отношению к ",'Динамика издержек'!E7," году")</f>
        <v>2010 по отношению к 2008 году</v>
      </c>
      <c r="R6" s="77"/>
      <c r="S6" s="20"/>
      <c r="U6" s="55" t="s">
        <v>168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14.25">
      <c r="B7" s="21"/>
      <c r="C7" s="69"/>
      <c r="D7" s="69"/>
      <c r="E7" s="71" t="s">
        <v>60</v>
      </c>
      <c r="F7" s="71" t="s">
        <v>61</v>
      </c>
      <c r="G7" s="71" t="s">
        <v>60</v>
      </c>
      <c r="H7" s="71" t="s">
        <v>61</v>
      </c>
      <c r="I7" s="71" t="s">
        <v>60</v>
      </c>
      <c r="J7" s="71" t="s">
        <v>61</v>
      </c>
      <c r="K7" s="81" t="str">
        <f>'Динамика издержек'!H7</f>
        <v>от 2008</v>
      </c>
      <c r="L7" s="82"/>
      <c r="M7" s="81" t="str">
        <f>'Динамика издержек'!I7</f>
        <v>от 2009</v>
      </c>
      <c r="N7" s="82"/>
      <c r="O7" s="71" t="s">
        <v>87</v>
      </c>
      <c r="P7" s="71" t="s">
        <v>88</v>
      </c>
      <c r="Q7" s="71" t="s">
        <v>87</v>
      </c>
      <c r="R7" s="71" t="s">
        <v>88</v>
      </c>
      <c r="S7" s="20"/>
      <c r="U7" s="55" t="s">
        <v>169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27">
      <c r="B8" s="21"/>
      <c r="C8" s="69"/>
      <c r="D8" s="69"/>
      <c r="E8" s="72"/>
      <c r="F8" s="72"/>
      <c r="G8" s="72"/>
      <c r="H8" s="72"/>
      <c r="I8" s="72"/>
      <c r="J8" s="72"/>
      <c r="K8" s="43" t="s">
        <v>62</v>
      </c>
      <c r="L8" s="43" t="s">
        <v>61</v>
      </c>
      <c r="M8" s="43" t="s">
        <v>62</v>
      </c>
      <c r="N8" s="43" t="s">
        <v>61</v>
      </c>
      <c r="O8" s="72"/>
      <c r="P8" s="72"/>
      <c r="Q8" s="72"/>
      <c r="R8" s="72"/>
      <c r="S8" s="20"/>
      <c r="U8" s="56" t="s">
        <v>170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33" s="8" customFormat="1" ht="25.5">
      <c r="B9" s="2"/>
      <c r="C9" s="9" t="s">
        <v>8</v>
      </c>
      <c r="D9" s="10" t="s">
        <v>63</v>
      </c>
      <c r="E9" s="32">
        <v>50</v>
      </c>
      <c r="F9" s="33">
        <f>E9/E$25</f>
        <v>0.00909090909090909</v>
      </c>
      <c r="G9" s="32">
        <v>53</v>
      </c>
      <c r="H9" s="33">
        <f>G9/G$25</f>
        <v>0.008688524590163935</v>
      </c>
      <c r="I9" s="32">
        <v>55</v>
      </c>
      <c r="J9" s="33">
        <f aca="true" t="shared" si="0" ref="J9:J24">I9/I$25</f>
        <v>0.007971014492753623</v>
      </c>
      <c r="K9" s="31">
        <f>I9-E9</f>
        <v>5</v>
      </c>
      <c r="L9" s="33">
        <f>J9-F9</f>
        <v>-0.0011198945981554676</v>
      </c>
      <c r="M9" s="31">
        <f>I9-G9</f>
        <v>2</v>
      </c>
      <c r="N9" s="33">
        <f>J9-H9</f>
        <v>-0.0007175100974103118</v>
      </c>
      <c r="O9" s="31" t="str">
        <f>IF($I$25*L9&lt;0,"-",$I$25*L9)</f>
        <v>-</v>
      </c>
      <c r="P9" s="31">
        <f>IF($I$25*L9&gt;0,"-",$I$25*L9)</f>
        <v>-7.727272727272727</v>
      </c>
      <c r="Q9" s="31" t="str">
        <f>IF($I$25*N9&lt;0,"-",$I$25*N9)</f>
        <v>-</v>
      </c>
      <c r="R9" s="31">
        <f>IF($I$25*N9&gt;0,"-",$I$25*N9)</f>
        <v>-4.950819672131152</v>
      </c>
      <c r="S9" s="3"/>
      <c r="U9" s="56" t="s">
        <v>171</v>
      </c>
      <c r="AB9" s="11"/>
      <c r="AC9" s="11"/>
      <c r="AD9" s="11"/>
      <c r="AE9" s="11"/>
      <c r="AF9" s="11"/>
      <c r="AG9" s="11"/>
    </row>
    <row r="10" spans="2:33" s="8" customFormat="1" ht="25.5">
      <c r="B10" s="2"/>
      <c r="C10" s="9" t="s">
        <v>3</v>
      </c>
      <c r="D10" s="10" t="s">
        <v>64</v>
      </c>
      <c r="E10" s="32">
        <v>180</v>
      </c>
      <c r="F10" s="33">
        <f aca="true" t="shared" si="1" ref="F10:H24">E10/E$25</f>
        <v>0.03272727272727273</v>
      </c>
      <c r="G10" s="32">
        <v>190</v>
      </c>
      <c r="H10" s="33">
        <f t="shared" si="1"/>
        <v>0.03114754098360656</v>
      </c>
      <c r="I10" s="32">
        <v>220</v>
      </c>
      <c r="J10" s="33">
        <f t="shared" si="0"/>
        <v>0.03188405797101449</v>
      </c>
      <c r="K10" s="31">
        <f aca="true" t="shared" si="2" ref="K10:K25">I10-E10</f>
        <v>40</v>
      </c>
      <c r="L10" s="33">
        <f aca="true" t="shared" si="3" ref="L10:L24">J10-F10</f>
        <v>-0.0008432147562582384</v>
      </c>
      <c r="M10" s="31">
        <f aca="true" t="shared" si="4" ref="M10:M25">I10-G10</f>
        <v>30</v>
      </c>
      <c r="N10" s="33">
        <f aca="true" t="shared" si="5" ref="N10:N24">J10-H10</f>
        <v>0.0007365169874079328</v>
      </c>
      <c r="O10" s="31" t="str">
        <f aca="true" t="shared" si="6" ref="O10:O22">IF($I$25*L10&lt;0,"-",$I$25*L10)</f>
        <v>-</v>
      </c>
      <c r="P10" s="31">
        <f aca="true" t="shared" si="7" ref="P10:P22">IF($I$25*L10&gt;0,"-",$I$25*L10)</f>
        <v>-5.818181818181845</v>
      </c>
      <c r="Q10" s="31">
        <f aca="true" t="shared" si="8" ref="Q10:Q23">IF($I$25*N10&lt;0,"-",$I$25*N10)</f>
        <v>5.081967213114736</v>
      </c>
      <c r="R10" s="31" t="str">
        <f aca="true" t="shared" si="9" ref="R10:R23">IF($I$25*N10&gt;0,"-",$I$25*N10)</f>
        <v>-</v>
      </c>
      <c r="S10" s="3"/>
      <c r="U10" s="56" t="s">
        <v>172</v>
      </c>
      <c r="AB10" s="11"/>
      <c r="AC10" s="11"/>
      <c r="AD10" s="11"/>
      <c r="AE10" s="11"/>
      <c r="AF10" s="11"/>
      <c r="AG10" s="11"/>
    </row>
    <row r="11" spans="2:33" s="8" customFormat="1" ht="38.25">
      <c r="B11" s="2"/>
      <c r="C11" s="9" t="s">
        <v>1</v>
      </c>
      <c r="D11" s="10" t="s">
        <v>65</v>
      </c>
      <c r="E11" s="32">
        <v>13</v>
      </c>
      <c r="F11" s="33">
        <f t="shared" si="1"/>
        <v>0.0023636363636363638</v>
      </c>
      <c r="G11" s="32">
        <v>14</v>
      </c>
      <c r="H11" s="33">
        <f t="shared" si="1"/>
        <v>0.0022950819672131148</v>
      </c>
      <c r="I11" s="32">
        <v>16</v>
      </c>
      <c r="J11" s="33">
        <f t="shared" si="0"/>
        <v>0.002318840579710145</v>
      </c>
      <c r="K11" s="31">
        <f t="shared" si="2"/>
        <v>3</v>
      </c>
      <c r="L11" s="33">
        <f t="shared" si="3"/>
        <v>-4.4795783926218895E-05</v>
      </c>
      <c r="M11" s="31">
        <f t="shared" si="4"/>
        <v>2</v>
      </c>
      <c r="N11" s="33">
        <f t="shared" si="5"/>
        <v>2.3758612497030117E-05</v>
      </c>
      <c r="O11" s="31" t="str">
        <f t="shared" si="6"/>
        <v>-</v>
      </c>
      <c r="P11" s="31">
        <f t="shared" si="7"/>
        <v>-0.30909090909091036</v>
      </c>
      <c r="Q11" s="31">
        <f t="shared" si="8"/>
        <v>0.1639344262295078</v>
      </c>
      <c r="R11" s="31" t="str">
        <f t="shared" si="9"/>
        <v>-</v>
      </c>
      <c r="S11" s="3"/>
      <c r="U11" s="56" t="s">
        <v>173</v>
      </c>
      <c r="AB11" s="11"/>
      <c r="AC11" s="11"/>
      <c r="AD11" s="11"/>
      <c r="AE11" s="11"/>
      <c r="AF11" s="11"/>
      <c r="AG11" s="11"/>
    </row>
    <row r="12" spans="2:33" s="8" customFormat="1" ht="38.25">
      <c r="B12" s="2"/>
      <c r="C12" s="9" t="s">
        <v>2</v>
      </c>
      <c r="D12" s="10" t="s">
        <v>66</v>
      </c>
      <c r="E12" s="32">
        <v>90</v>
      </c>
      <c r="F12" s="33">
        <f t="shared" si="1"/>
        <v>0.016363636363636365</v>
      </c>
      <c r="G12" s="32">
        <v>93</v>
      </c>
      <c r="H12" s="33">
        <f t="shared" si="1"/>
        <v>0.015245901639344262</v>
      </c>
      <c r="I12" s="32">
        <v>95</v>
      </c>
      <c r="J12" s="33">
        <f t="shared" si="0"/>
        <v>0.013768115942028985</v>
      </c>
      <c r="K12" s="31">
        <f t="shared" si="2"/>
        <v>5</v>
      </c>
      <c r="L12" s="33">
        <f t="shared" si="3"/>
        <v>-0.0025955204216073797</v>
      </c>
      <c r="M12" s="31">
        <f t="shared" si="4"/>
        <v>2</v>
      </c>
      <c r="N12" s="33">
        <f t="shared" si="5"/>
        <v>-0.0014777856973152773</v>
      </c>
      <c r="O12" s="31" t="str">
        <f t="shared" si="6"/>
        <v>-</v>
      </c>
      <c r="P12" s="31">
        <f t="shared" si="7"/>
        <v>-17.90909090909092</v>
      </c>
      <c r="Q12" s="31" t="str">
        <f t="shared" si="8"/>
        <v>-</v>
      </c>
      <c r="R12" s="31">
        <f t="shared" si="9"/>
        <v>-10.196721311475413</v>
      </c>
      <c r="S12" s="3"/>
      <c r="U12" s="56" t="s">
        <v>174</v>
      </c>
      <c r="AB12" s="11"/>
      <c r="AC12" s="11"/>
      <c r="AD12" s="11"/>
      <c r="AE12" s="11"/>
      <c r="AF12" s="11"/>
      <c r="AG12" s="11"/>
    </row>
    <row r="13" spans="2:33" s="8" customFormat="1" ht="38.25">
      <c r="B13" s="2"/>
      <c r="C13" s="9" t="s">
        <v>4</v>
      </c>
      <c r="D13" s="10" t="s">
        <v>67</v>
      </c>
      <c r="E13" s="32">
        <v>14</v>
      </c>
      <c r="F13" s="33">
        <f t="shared" si="1"/>
        <v>0.0025454545454545456</v>
      </c>
      <c r="G13" s="32">
        <v>15</v>
      </c>
      <c r="H13" s="33">
        <f t="shared" si="1"/>
        <v>0.002459016393442623</v>
      </c>
      <c r="I13" s="32">
        <v>15.6</v>
      </c>
      <c r="J13" s="33">
        <f t="shared" si="0"/>
        <v>0.002260869565217391</v>
      </c>
      <c r="K13" s="31">
        <f t="shared" si="2"/>
        <v>1.5999999999999996</v>
      </c>
      <c r="L13" s="33">
        <f t="shared" si="3"/>
        <v>-0.0002845849802371545</v>
      </c>
      <c r="M13" s="31">
        <f t="shared" si="4"/>
        <v>0.5999999999999996</v>
      </c>
      <c r="N13" s="33">
        <f t="shared" si="5"/>
        <v>-0.00019814682822523206</v>
      </c>
      <c r="O13" s="31" t="str">
        <f t="shared" si="6"/>
        <v>-</v>
      </c>
      <c r="P13" s="31">
        <f t="shared" si="7"/>
        <v>-1.9636363636363663</v>
      </c>
      <c r="Q13" s="31" t="str">
        <f t="shared" si="8"/>
        <v>-</v>
      </c>
      <c r="R13" s="31">
        <f t="shared" si="9"/>
        <v>-1.3672131147541011</v>
      </c>
      <c r="S13" s="3"/>
      <c r="U13" s="56" t="s">
        <v>175</v>
      </c>
      <c r="AB13" s="11"/>
      <c r="AC13" s="11"/>
      <c r="AD13" s="11"/>
      <c r="AE13" s="11"/>
      <c r="AF13" s="11"/>
      <c r="AG13" s="11"/>
    </row>
    <row r="14" spans="2:33" s="8" customFormat="1" ht="25.5">
      <c r="B14" s="2"/>
      <c r="C14" s="9" t="s">
        <v>5</v>
      </c>
      <c r="D14" s="10" t="s">
        <v>68</v>
      </c>
      <c r="E14" s="32">
        <v>8</v>
      </c>
      <c r="F14" s="33">
        <f t="shared" si="1"/>
        <v>0.0014545454545454545</v>
      </c>
      <c r="G14" s="32">
        <v>8.5</v>
      </c>
      <c r="H14" s="33">
        <f t="shared" si="1"/>
        <v>0.0013934426229508198</v>
      </c>
      <c r="I14" s="32">
        <v>9.3</v>
      </c>
      <c r="J14" s="33">
        <f t="shared" si="0"/>
        <v>0.001347826086956522</v>
      </c>
      <c r="K14" s="31">
        <f t="shared" si="2"/>
        <v>1.3000000000000007</v>
      </c>
      <c r="L14" s="33">
        <f t="shared" si="3"/>
        <v>-0.00010671936758893251</v>
      </c>
      <c r="M14" s="31">
        <f t="shared" si="4"/>
        <v>0.8000000000000007</v>
      </c>
      <c r="N14" s="33">
        <f t="shared" si="5"/>
        <v>-4.561653599429783E-05</v>
      </c>
      <c r="O14" s="31" t="str">
        <f t="shared" si="6"/>
        <v>-</v>
      </c>
      <c r="P14" s="31">
        <f t="shared" si="7"/>
        <v>-0.7363636363636343</v>
      </c>
      <c r="Q14" s="31" t="str">
        <f t="shared" si="8"/>
        <v>-</v>
      </c>
      <c r="R14" s="31">
        <f t="shared" si="9"/>
        <v>-0.31475409836065504</v>
      </c>
      <c r="S14" s="3"/>
      <c r="U14" s="56" t="s">
        <v>176</v>
      </c>
      <c r="AB14" s="11"/>
      <c r="AC14" s="11"/>
      <c r="AD14" s="11"/>
      <c r="AE14" s="11"/>
      <c r="AF14" s="11"/>
      <c r="AG14" s="11"/>
    </row>
    <row r="15" spans="2:33" s="8" customFormat="1" ht="38.25">
      <c r="B15" s="2"/>
      <c r="C15" s="9" t="s">
        <v>6</v>
      </c>
      <c r="D15" s="10" t="s">
        <v>69</v>
      </c>
      <c r="E15" s="32">
        <v>1</v>
      </c>
      <c r="F15" s="33">
        <f t="shared" si="1"/>
        <v>0.0001818181818181818</v>
      </c>
      <c r="G15" s="32">
        <v>1.01</v>
      </c>
      <c r="H15" s="33">
        <f t="shared" si="1"/>
        <v>0.00016557377049180328</v>
      </c>
      <c r="I15" s="32">
        <v>1.02</v>
      </c>
      <c r="J15" s="33">
        <f t="shared" si="0"/>
        <v>0.00014782608695652175</v>
      </c>
      <c r="K15" s="31">
        <f t="shared" si="2"/>
        <v>0.020000000000000018</v>
      </c>
      <c r="L15" s="33">
        <f t="shared" si="3"/>
        <v>-3.3992094861660054E-05</v>
      </c>
      <c r="M15" s="31">
        <f t="shared" si="4"/>
        <v>0.010000000000000009</v>
      </c>
      <c r="N15" s="33">
        <f t="shared" si="5"/>
        <v>-1.7747683535281522E-05</v>
      </c>
      <c r="O15" s="31" t="str">
        <f t="shared" si="6"/>
        <v>-</v>
      </c>
      <c r="P15" s="31">
        <f t="shared" si="7"/>
        <v>-0.23454545454545436</v>
      </c>
      <c r="Q15" s="31" t="str">
        <f t="shared" si="8"/>
        <v>-</v>
      </c>
      <c r="R15" s="31">
        <f t="shared" si="9"/>
        <v>-0.1224590163934425</v>
      </c>
      <c r="S15" s="3"/>
      <c r="U15" s="56" t="s">
        <v>177</v>
      </c>
      <c r="AB15" s="11"/>
      <c r="AC15" s="11"/>
      <c r="AD15" s="11"/>
      <c r="AE15" s="11"/>
      <c r="AF15" s="11"/>
      <c r="AG15" s="11"/>
    </row>
    <row r="16" spans="2:33" s="8" customFormat="1" ht="38.25">
      <c r="B16" s="2"/>
      <c r="C16" s="9" t="s">
        <v>11</v>
      </c>
      <c r="D16" s="10" t="s">
        <v>71</v>
      </c>
      <c r="E16" s="32">
        <v>15</v>
      </c>
      <c r="F16" s="33">
        <f t="shared" si="1"/>
        <v>0.0027272727272727275</v>
      </c>
      <c r="G16" s="32">
        <v>17</v>
      </c>
      <c r="H16" s="33">
        <f t="shared" si="1"/>
        <v>0.0027868852459016396</v>
      </c>
      <c r="I16" s="32">
        <v>19</v>
      </c>
      <c r="J16" s="33">
        <f t="shared" si="0"/>
        <v>0.0027536231884057972</v>
      </c>
      <c r="K16" s="31">
        <f t="shared" si="2"/>
        <v>4</v>
      </c>
      <c r="L16" s="33">
        <f t="shared" si="3"/>
        <v>2.6350461133069734E-05</v>
      </c>
      <c r="M16" s="31">
        <f t="shared" si="4"/>
        <v>2</v>
      </c>
      <c r="N16" s="33">
        <f t="shared" si="5"/>
        <v>-3.326205749584234E-05</v>
      </c>
      <c r="O16" s="31">
        <f t="shared" si="6"/>
        <v>0.18181818181818116</v>
      </c>
      <c r="P16" s="31" t="str">
        <f t="shared" si="7"/>
        <v>-</v>
      </c>
      <c r="Q16" s="31" t="str">
        <f t="shared" si="8"/>
        <v>-</v>
      </c>
      <c r="R16" s="31">
        <f t="shared" si="9"/>
        <v>-0.22950819672131212</v>
      </c>
      <c r="S16" s="3"/>
      <c r="U16" s="56" t="s">
        <v>178</v>
      </c>
      <c r="AB16" s="11"/>
      <c r="AC16" s="11"/>
      <c r="AD16" s="11"/>
      <c r="AE16" s="11"/>
      <c r="AF16" s="11"/>
      <c r="AG16" s="11"/>
    </row>
    <row r="17" spans="2:33" s="8" customFormat="1" ht="25.5">
      <c r="B17" s="2"/>
      <c r="C17" s="9" t="s">
        <v>12</v>
      </c>
      <c r="D17" s="10" t="s">
        <v>72</v>
      </c>
      <c r="E17" s="32">
        <v>3</v>
      </c>
      <c r="F17" s="33">
        <f t="shared" si="1"/>
        <v>0.0005454545454545455</v>
      </c>
      <c r="G17" s="32">
        <v>5</v>
      </c>
      <c r="H17" s="33">
        <f t="shared" si="1"/>
        <v>0.000819672131147541</v>
      </c>
      <c r="I17" s="32">
        <v>8</v>
      </c>
      <c r="J17" s="33">
        <f t="shared" si="0"/>
        <v>0.0011594202898550724</v>
      </c>
      <c r="K17" s="31">
        <f t="shared" si="2"/>
        <v>5</v>
      </c>
      <c r="L17" s="33">
        <f t="shared" si="3"/>
        <v>0.000613965744400527</v>
      </c>
      <c r="M17" s="31">
        <f t="shared" si="4"/>
        <v>3</v>
      </c>
      <c r="N17" s="33">
        <f t="shared" si="5"/>
        <v>0.00033974815870753145</v>
      </c>
      <c r="O17" s="31">
        <f t="shared" si="6"/>
        <v>4.236363636363636</v>
      </c>
      <c r="P17" s="31" t="str">
        <f t="shared" si="7"/>
        <v>-</v>
      </c>
      <c r="Q17" s="31">
        <f t="shared" si="8"/>
        <v>2.344262295081967</v>
      </c>
      <c r="R17" s="31" t="str">
        <f t="shared" si="9"/>
        <v>-</v>
      </c>
      <c r="S17" s="3"/>
      <c r="U17" s="57"/>
      <c r="AB17" s="11"/>
      <c r="AC17" s="11"/>
      <c r="AD17" s="11"/>
      <c r="AE17" s="11"/>
      <c r="AF17" s="11"/>
      <c r="AG17" s="11"/>
    </row>
    <row r="18" spans="2:33" s="8" customFormat="1" ht="12.75">
      <c r="B18" s="2"/>
      <c r="C18" s="9" t="s">
        <v>21</v>
      </c>
      <c r="D18" s="10" t="s">
        <v>77</v>
      </c>
      <c r="E18" s="32">
        <v>0</v>
      </c>
      <c r="F18" s="33">
        <f t="shared" si="1"/>
        <v>0</v>
      </c>
      <c r="G18" s="32">
        <v>0</v>
      </c>
      <c r="H18" s="33">
        <f t="shared" si="1"/>
        <v>0</v>
      </c>
      <c r="I18" s="32">
        <v>0</v>
      </c>
      <c r="J18" s="33">
        <f t="shared" si="0"/>
        <v>0</v>
      </c>
      <c r="K18" s="31">
        <f t="shared" si="2"/>
        <v>0</v>
      </c>
      <c r="L18" s="33">
        <f t="shared" si="3"/>
        <v>0</v>
      </c>
      <c r="M18" s="31">
        <f t="shared" si="4"/>
        <v>0</v>
      </c>
      <c r="N18" s="33">
        <f t="shared" si="5"/>
        <v>0</v>
      </c>
      <c r="O18" s="31">
        <f t="shared" si="6"/>
        <v>0</v>
      </c>
      <c r="P18" s="31">
        <f t="shared" si="7"/>
        <v>0</v>
      </c>
      <c r="Q18" s="31">
        <f t="shared" si="8"/>
        <v>0</v>
      </c>
      <c r="R18" s="31">
        <f t="shared" si="9"/>
        <v>0</v>
      </c>
      <c r="S18" s="3"/>
      <c r="U18" s="57"/>
      <c r="AB18" s="11"/>
      <c r="AC18" s="11"/>
      <c r="AD18" s="11"/>
      <c r="AE18" s="11"/>
      <c r="AF18" s="11"/>
      <c r="AG18" s="11"/>
    </row>
    <row r="19" spans="2:33" s="8" customFormat="1" ht="12.75">
      <c r="B19" s="2"/>
      <c r="C19" s="9" t="s">
        <v>22</v>
      </c>
      <c r="D19" s="10" t="s">
        <v>73</v>
      </c>
      <c r="E19" s="32">
        <v>0.4</v>
      </c>
      <c r="F19" s="33">
        <f t="shared" si="1"/>
        <v>7.272727272727273E-05</v>
      </c>
      <c r="G19" s="32">
        <v>0.3</v>
      </c>
      <c r="H19" s="33">
        <f t="shared" si="1"/>
        <v>4.9180327868852456E-05</v>
      </c>
      <c r="I19" s="32">
        <v>0.3</v>
      </c>
      <c r="J19" s="33">
        <f t="shared" si="0"/>
        <v>4.3478260869565214E-05</v>
      </c>
      <c r="K19" s="31">
        <f t="shared" si="2"/>
        <v>-0.10000000000000003</v>
      </c>
      <c r="L19" s="33">
        <f t="shared" si="3"/>
        <v>-2.9249011857707515E-05</v>
      </c>
      <c r="M19" s="31">
        <f t="shared" si="4"/>
        <v>0</v>
      </c>
      <c r="N19" s="33">
        <f t="shared" si="5"/>
        <v>-5.702066999287243E-06</v>
      </c>
      <c r="O19" s="31" t="str">
        <f t="shared" si="6"/>
        <v>-</v>
      </c>
      <c r="P19" s="31">
        <f t="shared" si="7"/>
        <v>-0.20181818181818184</v>
      </c>
      <c r="Q19" s="31" t="str">
        <f t="shared" si="8"/>
        <v>-</v>
      </c>
      <c r="R19" s="31">
        <f t="shared" si="9"/>
        <v>-0.03934426229508198</v>
      </c>
      <c r="S19" s="3"/>
      <c r="U19" s="57"/>
      <c r="AB19" s="11"/>
      <c r="AC19" s="11"/>
      <c r="AD19" s="11"/>
      <c r="AE19" s="11"/>
      <c r="AF19" s="11"/>
      <c r="AG19" s="11"/>
    </row>
    <row r="20" spans="2:33" s="8" customFormat="1" ht="38.25">
      <c r="B20" s="2"/>
      <c r="C20" s="9" t="s">
        <v>81</v>
      </c>
      <c r="D20" s="10" t="s">
        <v>74</v>
      </c>
      <c r="E20" s="32">
        <v>78</v>
      </c>
      <c r="F20" s="33">
        <f t="shared" si="1"/>
        <v>0.014181818181818183</v>
      </c>
      <c r="G20" s="32">
        <v>83</v>
      </c>
      <c r="H20" s="33">
        <f t="shared" si="1"/>
        <v>0.01360655737704918</v>
      </c>
      <c r="I20" s="32">
        <v>86</v>
      </c>
      <c r="J20" s="33">
        <f t="shared" si="0"/>
        <v>0.012463768115942029</v>
      </c>
      <c r="K20" s="31">
        <f t="shared" si="2"/>
        <v>8</v>
      </c>
      <c r="L20" s="33">
        <f t="shared" si="3"/>
        <v>-0.001718050065876154</v>
      </c>
      <c r="M20" s="31">
        <f t="shared" si="4"/>
        <v>3</v>
      </c>
      <c r="N20" s="33">
        <f t="shared" si="5"/>
        <v>-0.0011427892611071515</v>
      </c>
      <c r="O20" s="31" t="str">
        <f t="shared" si="6"/>
        <v>-</v>
      </c>
      <c r="P20" s="31">
        <f t="shared" si="7"/>
        <v>-11.854545454545462</v>
      </c>
      <c r="Q20" s="31" t="str">
        <f t="shared" si="8"/>
        <v>-</v>
      </c>
      <c r="R20" s="31">
        <f t="shared" si="9"/>
        <v>-7.885245901639345</v>
      </c>
      <c r="S20" s="3"/>
      <c r="U20" s="57"/>
      <c r="AB20" s="11"/>
      <c r="AC20" s="11"/>
      <c r="AD20" s="11"/>
      <c r="AE20" s="11"/>
      <c r="AF20" s="11"/>
      <c r="AG20" s="11"/>
    </row>
    <row r="21" spans="2:33" s="8" customFormat="1" ht="25.5">
      <c r="B21" s="2"/>
      <c r="C21" s="9" t="s">
        <v>82</v>
      </c>
      <c r="D21" s="10" t="s">
        <v>75</v>
      </c>
      <c r="E21" s="32">
        <v>9</v>
      </c>
      <c r="F21" s="33">
        <f t="shared" si="1"/>
        <v>0.0016363636363636363</v>
      </c>
      <c r="G21" s="32">
        <v>9</v>
      </c>
      <c r="H21" s="33">
        <f t="shared" si="1"/>
        <v>0.0014754098360655738</v>
      </c>
      <c r="I21" s="32">
        <v>9</v>
      </c>
      <c r="J21" s="33">
        <f t="shared" si="0"/>
        <v>0.0013043478260869566</v>
      </c>
      <c r="K21" s="31">
        <f t="shared" si="2"/>
        <v>0</v>
      </c>
      <c r="L21" s="33">
        <f t="shared" si="3"/>
        <v>-0.0003320158102766797</v>
      </c>
      <c r="M21" s="31">
        <f t="shared" si="4"/>
        <v>0</v>
      </c>
      <c r="N21" s="33">
        <f t="shared" si="5"/>
        <v>-0.00017106200997861714</v>
      </c>
      <c r="O21" s="31" t="str">
        <f t="shared" si="6"/>
        <v>-</v>
      </c>
      <c r="P21" s="31">
        <f t="shared" si="7"/>
        <v>-2.2909090909090897</v>
      </c>
      <c r="Q21" s="31" t="str">
        <f t="shared" si="8"/>
        <v>-</v>
      </c>
      <c r="R21" s="31">
        <f t="shared" si="9"/>
        <v>-1.1803278688524583</v>
      </c>
      <c r="S21" s="3"/>
      <c r="U21" s="58"/>
      <c r="AB21" s="11"/>
      <c r="AC21" s="11"/>
      <c r="AD21" s="11"/>
      <c r="AE21" s="11"/>
      <c r="AF21" s="11"/>
      <c r="AG21" s="11"/>
    </row>
    <row r="22" spans="2:33" s="8" customFormat="1" ht="38.25">
      <c r="B22" s="2"/>
      <c r="C22" s="9" t="s">
        <v>83</v>
      </c>
      <c r="D22" s="10" t="s">
        <v>76</v>
      </c>
      <c r="E22" s="32">
        <v>25</v>
      </c>
      <c r="F22" s="33">
        <f t="shared" si="1"/>
        <v>0.004545454545454545</v>
      </c>
      <c r="G22" s="32">
        <v>27</v>
      </c>
      <c r="H22" s="33">
        <f t="shared" si="1"/>
        <v>0.004426229508196721</v>
      </c>
      <c r="I22" s="32">
        <v>30</v>
      </c>
      <c r="J22" s="33">
        <f t="shared" si="0"/>
        <v>0.004347826086956522</v>
      </c>
      <c r="K22" s="31">
        <f t="shared" si="2"/>
        <v>5</v>
      </c>
      <c r="L22" s="33">
        <f t="shared" si="3"/>
        <v>-0.00019762845849802344</v>
      </c>
      <c r="M22" s="31">
        <f t="shared" si="4"/>
        <v>3</v>
      </c>
      <c r="N22" s="33">
        <f t="shared" si="5"/>
        <v>-7.84034212401993E-05</v>
      </c>
      <c r="O22" s="31" t="str">
        <f t="shared" si="6"/>
        <v>-</v>
      </c>
      <c r="P22" s="31">
        <f t="shared" si="7"/>
        <v>-1.3636363636363618</v>
      </c>
      <c r="Q22" s="31" t="str">
        <f t="shared" si="8"/>
        <v>-</v>
      </c>
      <c r="R22" s="31">
        <f t="shared" si="9"/>
        <v>-0.5409836065573752</v>
      </c>
      <c r="S22" s="3"/>
      <c r="U22" s="58"/>
      <c r="AB22" s="11"/>
      <c r="AC22" s="11"/>
      <c r="AD22" s="11"/>
      <c r="AE22" s="11"/>
      <c r="AF22" s="11"/>
      <c r="AG22" s="11"/>
    </row>
    <row r="23" spans="2:33" s="8" customFormat="1" ht="12.75">
      <c r="B23" s="2"/>
      <c r="C23" s="9" t="s">
        <v>84</v>
      </c>
      <c r="D23" s="10" t="s">
        <v>78</v>
      </c>
      <c r="E23" s="32">
        <v>8</v>
      </c>
      <c r="F23" s="33">
        <f t="shared" si="1"/>
        <v>0.0014545454545454545</v>
      </c>
      <c r="G23" s="32">
        <v>9</v>
      </c>
      <c r="H23" s="33">
        <f t="shared" si="1"/>
        <v>0.0014754098360655738</v>
      </c>
      <c r="I23" s="32">
        <v>10</v>
      </c>
      <c r="J23" s="33">
        <f t="shared" si="0"/>
        <v>0.0014492753623188406</v>
      </c>
      <c r="K23" s="31">
        <f t="shared" si="2"/>
        <v>2</v>
      </c>
      <c r="L23" s="33">
        <f t="shared" si="3"/>
        <v>-5.27009222661386E-06</v>
      </c>
      <c r="M23" s="31">
        <f t="shared" si="4"/>
        <v>1</v>
      </c>
      <c r="N23" s="33">
        <f t="shared" si="5"/>
        <v>-2.6134473746733172E-05</v>
      </c>
      <c r="O23" s="31" t="str">
        <f>IF($I$25*L23&lt;0,"-",$I$25*L23)</f>
        <v>-</v>
      </c>
      <c r="P23" s="31">
        <f>IF($I$25*L23&gt;0,"-",$I$25*L23)</f>
        <v>-0.03636363636363563</v>
      </c>
      <c r="Q23" s="31" t="str">
        <f t="shared" si="8"/>
        <v>-</v>
      </c>
      <c r="R23" s="31">
        <f t="shared" si="9"/>
        <v>-0.18032786885245888</v>
      </c>
      <c r="S23" s="3"/>
      <c r="U23" s="58"/>
      <c r="AB23" s="11"/>
      <c r="AC23" s="11"/>
      <c r="AD23" s="11"/>
      <c r="AE23" s="11"/>
      <c r="AF23" s="11"/>
      <c r="AG23" s="11"/>
    </row>
    <row r="24" spans="2:33" s="8" customFormat="1" ht="12.75">
      <c r="B24" s="2"/>
      <c r="C24" s="9" t="s">
        <v>85</v>
      </c>
      <c r="D24" s="10" t="s">
        <v>79</v>
      </c>
      <c r="E24" s="31">
        <f>SUM(E9:E23)</f>
        <v>494.4</v>
      </c>
      <c r="F24" s="33">
        <f t="shared" si="1"/>
        <v>0.08989090909090909</v>
      </c>
      <c r="G24" s="31">
        <f>SUM(G9:G23)</f>
        <v>524.81</v>
      </c>
      <c r="H24" s="33">
        <f t="shared" si="1"/>
        <v>0.08603442622950819</v>
      </c>
      <c r="I24" s="31">
        <f>SUM(I9:I23)</f>
        <v>574.22</v>
      </c>
      <c r="J24" s="33">
        <f t="shared" si="0"/>
        <v>0.08322028985507247</v>
      </c>
      <c r="K24" s="31">
        <f t="shared" si="2"/>
        <v>79.82000000000005</v>
      </c>
      <c r="L24" s="33">
        <f t="shared" si="3"/>
        <v>-0.006670619235836617</v>
      </c>
      <c r="M24" s="31">
        <f t="shared" si="4"/>
        <v>49.41000000000008</v>
      </c>
      <c r="N24" s="33">
        <f t="shared" si="5"/>
        <v>-0.0028141363744357134</v>
      </c>
      <c r="O24" s="32" t="s">
        <v>93</v>
      </c>
      <c r="P24" s="44" t="s">
        <v>93</v>
      </c>
      <c r="Q24" s="44" t="s">
        <v>93</v>
      </c>
      <c r="R24" s="44" t="s">
        <v>93</v>
      </c>
      <c r="S24" s="3"/>
      <c r="U24" s="58"/>
      <c r="AB24" s="11"/>
      <c r="AC24" s="11"/>
      <c r="AD24" s="11"/>
      <c r="AE24" s="11"/>
      <c r="AF24" s="11"/>
      <c r="AG24" s="11"/>
    </row>
    <row r="25" spans="2:33" s="8" customFormat="1" ht="25.5">
      <c r="B25" s="2"/>
      <c r="C25" s="9" t="s">
        <v>86</v>
      </c>
      <c r="D25" s="10" t="s">
        <v>80</v>
      </c>
      <c r="E25" s="73">
        <f>'Динамика издержек'!E8</f>
        <v>5500</v>
      </c>
      <c r="F25" s="75"/>
      <c r="G25" s="73">
        <f>'Динамика издержек'!F8</f>
        <v>6100</v>
      </c>
      <c r="H25" s="75"/>
      <c r="I25" s="73">
        <f>'Динамика издержек'!G8</f>
        <v>6900</v>
      </c>
      <c r="J25" s="75"/>
      <c r="K25" s="73">
        <f t="shared" si="2"/>
        <v>1400</v>
      </c>
      <c r="L25" s="75"/>
      <c r="M25" s="73">
        <f t="shared" si="4"/>
        <v>800</v>
      </c>
      <c r="N25" s="75"/>
      <c r="O25" s="32" t="s">
        <v>93</v>
      </c>
      <c r="P25" s="44" t="s">
        <v>93</v>
      </c>
      <c r="Q25" s="44" t="s">
        <v>93</v>
      </c>
      <c r="R25" s="44" t="s">
        <v>93</v>
      </c>
      <c r="S25" s="3"/>
      <c r="U25" s="54"/>
      <c r="AB25" s="11"/>
      <c r="AC25" s="11"/>
      <c r="AD25" s="11"/>
      <c r="AE25" s="11"/>
      <c r="AF25" s="11"/>
      <c r="AG25" s="11"/>
    </row>
    <row r="26" spans="2:33" s="8" customFormat="1" ht="25.5">
      <c r="B26" s="2"/>
      <c r="C26" s="9" t="s">
        <v>89</v>
      </c>
      <c r="D26" s="10" t="s">
        <v>91</v>
      </c>
      <c r="E26" s="73"/>
      <c r="F26" s="74"/>
      <c r="G26" s="74"/>
      <c r="H26" s="74"/>
      <c r="I26" s="74"/>
      <c r="J26" s="74"/>
      <c r="K26" s="74"/>
      <c r="L26" s="74"/>
      <c r="M26" s="74"/>
      <c r="N26" s="75"/>
      <c r="O26" s="31">
        <f>SUM(O9:O23)</f>
        <v>4.418181818181817</v>
      </c>
      <c r="P26" s="31">
        <f>SUM(P9:P23)</f>
        <v>-50.445454545454595</v>
      </c>
      <c r="Q26" s="31">
        <f>SUM(Q9:Q23)</f>
        <v>7.5901639344262115</v>
      </c>
      <c r="R26" s="31">
        <f>SUM(R9:R23)</f>
        <v>-27.007704918032793</v>
      </c>
      <c r="S26" s="3"/>
      <c r="U26" s="54"/>
      <c r="AB26" s="11"/>
      <c r="AC26" s="11"/>
      <c r="AD26" s="11"/>
      <c r="AE26" s="11"/>
      <c r="AF26" s="11"/>
      <c r="AG26" s="11"/>
    </row>
    <row r="27" spans="2:33" s="8" customFormat="1" ht="38.25">
      <c r="B27" s="2"/>
      <c r="C27" s="9" t="s">
        <v>90</v>
      </c>
      <c r="D27" s="10" t="s">
        <v>92</v>
      </c>
      <c r="E27" s="73"/>
      <c r="F27" s="74"/>
      <c r="G27" s="74"/>
      <c r="H27" s="74"/>
      <c r="I27" s="74"/>
      <c r="J27" s="74"/>
      <c r="K27" s="74"/>
      <c r="L27" s="74"/>
      <c r="M27" s="74"/>
      <c r="N27" s="75"/>
      <c r="O27" s="33">
        <f>O26/I25</f>
        <v>0.0006403162055335967</v>
      </c>
      <c r="P27" s="33">
        <f>P26/I25</f>
        <v>-0.007310935441370231</v>
      </c>
      <c r="Q27" s="33">
        <f>Q26/I25</f>
        <v>0.0011000237586124943</v>
      </c>
      <c r="R27" s="33">
        <f>R26/I25</f>
        <v>-0.003914160133048231</v>
      </c>
      <c r="S27" s="3"/>
      <c r="U27" s="54"/>
      <c r="AB27" s="11"/>
      <c r="AC27" s="11"/>
      <c r="AD27" s="11"/>
      <c r="AE27" s="11"/>
      <c r="AF27" s="11"/>
      <c r="AG27" s="11"/>
    </row>
    <row r="28" spans="2:33" s="8" customFormat="1" ht="12.75">
      <c r="B28" s="2"/>
      <c r="C28" s="36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"/>
      <c r="U28" s="54"/>
      <c r="AB28" s="11"/>
      <c r="AC28" s="11"/>
      <c r="AD28" s="11"/>
      <c r="AE28" s="11"/>
      <c r="AF28" s="11"/>
      <c r="AG28" s="11"/>
    </row>
    <row r="29" spans="2:33" s="12" customFormat="1" ht="11.25" thickBot="1">
      <c r="B29" s="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4"/>
      <c r="U29" s="54"/>
      <c r="AB29" s="11"/>
      <c r="AC29" s="11"/>
      <c r="AD29" s="11"/>
      <c r="AE29" s="11"/>
      <c r="AF29" s="11"/>
      <c r="AG29" s="11"/>
    </row>
  </sheetData>
  <sheetProtection/>
  <mergeCells count="29">
    <mergeCell ref="K6:N6"/>
    <mergeCell ref="K7:L7"/>
    <mergeCell ref="M7:N7"/>
    <mergeCell ref="O6:P6"/>
    <mergeCell ref="Q6:R6"/>
    <mergeCell ref="G6:H6"/>
    <mergeCell ref="I6:J6"/>
    <mergeCell ref="J7:J8"/>
    <mergeCell ref="G7:G8"/>
    <mergeCell ref="H7:H8"/>
    <mergeCell ref="E27:N27"/>
    <mergeCell ref="E25:F25"/>
    <mergeCell ref="G25:H25"/>
    <mergeCell ref="I25:J25"/>
    <mergeCell ref="K25:L25"/>
    <mergeCell ref="C3:R3"/>
    <mergeCell ref="C4:R4"/>
    <mergeCell ref="C6:C8"/>
    <mergeCell ref="D6:D8"/>
    <mergeCell ref="E6:F6"/>
    <mergeCell ref="R7:R8"/>
    <mergeCell ref="E26:N26"/>
    <mergeCell ref="E7:E8"/>
    <mergeCell ref="F7:F8"/>
    <mergeCell ref="I7:I8"/>
    <mergeCell ref="M25:N25"/>
    <mergeCell ref="O7:O8"/>
    <mergeCell ref="P7:P8"/>
    <mergeCell ref="Q7:Q8"/>
  </mergeCells>
  <hyperlinks>
    <hyperlink ref="U6" location="'Динамика осн. пок-лей'!A1" display="Динамика основных показателей деятельности "/>
    <hyperlink ref="U7" location="'Динамика издержек'!A1" display="Информация о динамике издержек обращения "/>
    <hyperlink ref="U8" location="'А-з состава и стр-ры издержек'!A1" display="Анализ состава и структуры издержек обращения"/>
    <hyperlink ref="U9" location="'А-з издержек по эк. эл-там'!A1" display="Анализ издержек обращения по экономическим элементам"/>
    <hyperlink ref="U10" location="'Влияние динамики т-оборота'!A1" display="Алгоритм расчета влияния динамики товарооборота на сумму и уровень издержек обращения"/>
    <hyperlink ref="U11" location="'Влияние стр-ры т-оборота'!A1" display="Расчет влияния изменения структуры товарооборота на уровень издержек обращения"/>
    <hyperlink ref="U12" location="'Влияние товарных запасов'!A1" display="Влияние средних товарных запасов и товарооборачиваемости на сумму расходов на хранение, доработку, сортировку и упаковку товаров "/>
    <hyperlink ref="U13" location="'Обобщение влияния ф-ров'!A1" display="Обобщение данных анализа влияния факторов на общую сумму и уровень издержек обращения"/>
    <hyperlink ref="U14" location="'А-з пок-лей по труду и ЗП'!A1" display="Анализ показателей по труду и заработной плате"/>
    <hyperlink ref="U15" location="'Влияние пок-лей по труду и ЗП'!A1" display="Расчет влияния численности торговых работников и их средней заработной платы на расходы по оплату труда персонала"/>
    <hyperlink ref="U16" location="'Влияние выработки и СЗП'!A1" display="Расчет влияния выработки и средней заработной платы одного торгового работника на сумму расходов по оплате труда персонала"/>
  </hyperlinks>
  <printOptions/>
  <pageMargins left="0.7" right="0.7" top="0.75" bottom="0.75" header="0.3" footer="0.3"/>
  <pageSetup horizontalDpi="300" verticalDpi="300" orientation="landscape" paperSize="9" scale="7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9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AX24"/>
  <sheetViews>
    <sheetView showGridLines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4" customWidth="1"/>
    <col min="4" max="4" width="26.375" style="14" customWidth="1"/>
    <col min="5" max="5" width="8.125" style="15" bestFit="1" customWidth="1"/>
    <col min="6" max="6" width="9.25390625" style="15" customWidth="1"/>
    <col min="7" max="7" width="8.125" style="15" bestFit="1" customWidth="1"/>
    <col min="8" max="8" width="8.375" style="15" customWidth="1"/>
    <col min="9" max="9" width="8.125" style="15" bestFit="1" customWidth="1"/>
    <col min="10" max="10" width="8.00390625" style="15" customWidth="1"/>
    <col min="11" max="11" width="8.125" style="15" bestFit="1" customWidth="1"/>
    <col min="12" max="12" width="10.25390625" style="15" customWidth="1"/>
    <col min="13" max="13" width="6.625" style="15" bestFit="1" customWidth="1"/>
    <col min="14" max="14" width="10.875" style="15" customWidth="1"/>
    <col min="15" max="15" width="11.00390625" style="15" customWidth="1"/>
    <col min="16" max="17" width="10.75390625" style="15" customWidth="1"/>
    <col min="18" max="18" width="3.00390625" style="1" customWidth="1"/>
    <col min="19" max="19" width="2.75390625" style="1" customWidth="1"/>
    <col min="20" max="20" width="53.25390625" style="54" customWidth="1"/>
    <col min="21" max="21" width="2.75390625" style="1" customWidth="1"/>
    <col min="22" max="22" width="6.625" style="1" bestFit="1" customWidth="1"/>
    <col min="23" max="23" width="2.75390625" style="1" customWidth="1"/>
    <col min="24" max="24" width="6.625" style="1" bestFit="1" customWidth="1"/>
    <col min="25" max="26" width="2.75390625" style="1" customWidth="1"/>
    <col min="27" max="31" width="3.25390625" style="1" bestFit="1" customWidth="1"/>
    <col min="32" max="32" width="4.75390625" style="1" bestFit="1" customWidth="1"/>
    <col min="33" max="16384" width="2.75390625" style="1" customWidth="1"/>
  </cols>
  <sheetData>
    <row r="1" spans="2:25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3"/>
      <c r="U1" s="5"/>
      <c r="V1" s="5"/>
      <c r="W1" s="5"/>
      <c r="X1" s="5"/>
      <c r="Y1" s="5"/>
    </row>
    <row r="2" spans="2:50" ht="11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18" customHeight="1">
      <c r="B3" s="19"/>
      <c r="C3" s="59" t="s">
        <v>94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20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ht="18" customHeight="1">
      <c r="B4" s="19"/>
      <c r="C4" s="76" t="str">
        <f>CONCATENATE('Динамика издержек'!C4," по экономическим элементам ",'Динамика издержек'!G4)</f>
        <v>магазина № 555  по экономическим элементам за 2008-2010 годы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20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2:50" ht="12.75" customHeight="1">
      <c r="B5" s="1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0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4.25">
      <c r="B6" s="21"/>
      <c r="C6" s="69" t="s">
        <v>0</v>
      </c>
      <c r="D6" s="69" t="s">
        <v>95</v>
      </c>
      <c r="E6" s="77" t="str">
        <f>CONCATENATE("Фактически за ",'Динамика издержек'!E7," год")</f>
        <v>Фактически за 2008 год</v>
      </c>
      <c r="F6" s="77"/>
      <c r="G6" s="77" t="str">
        <f>CONCATENATE("Фактически за ",'Динамика издержек'!F7," год")</f>
        <v>Фактически за 2009 год</v>
      </c>
      <c r="H6" s="77"/>
      <c r="I6" s="77" t="str">
        <f>CONCATENATE("Фактически за ",'Динамика издержек'!G7," год")</f>
        <v>Фактически за 2010 год</v>
      </c>
      <c r="J6" s="77"/>
      <c r="K6" s="78" t="str">
        <f>CONCATENATE("Отклонение ",'Динамика издержек'!G7," г.")</f>
        <v>Отклонение 2010 г.</v>
      </c>
      <c r="L6" s="79"/>
      <c r="M6" s="79"/>
      <c r="N6" s="80"/>
      <c r="O6" s="77" t="str">
        <f>CONCATENATE('Динамика издержек'!G7," в процентах к ")</f>
        <v>2010 в процентах к </v>
      </c>
      <c r="P6" s="77"/>
      <c r="Q6" s="83" t="str">
        <f>CONCATENATE('Динамика издержек'!F7," в процентах к ",'Динамика издержек'!E7," году")</f>
        <v>2009 в процентах к 2008 году</v>
      </c>
      <c r="R6" s="20"/>
      <c r="T6" s="55" t="s">
        <v>168</v>
      </c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2:50" ht="14.25">
      <c r="B7" s="21"/>
      <c r="C7" s="69"/>
      <c r="D7" s="69"/>
      <c r="E7" s="71" t="s">
        <v>60</v>
      </c>
      <c r="F7" s="71" t="s">
        <v>96</v>
      </c>
      <c r="G7" s="71" t="s">
        <v>60</v>
      </c>
      <c r="H7" s="71" t="s">
        <v>96</v>
      </c>
      <c r="I7" s="71" t="s">
        <v>60</v>
      </c>
      <c r="J7" s="71" t="s">
        <v>96</v>
      </c>
      <c r="K7" s="81" t="str">
        <f>'Динамика издержек'!H7</f>
        <v>от 2008</v>
      </c>
      <c r="L7" s="82"/>
      <c r="M7" s="81" t="str">
        <f>'Динамика издержек'!I7</f>
        <v>от 2009</v>
      </c>
      <c r="N7" s="82"/>
      <c r="O7" s="71">
        <f>'Динамика издержек'!E7</f>
        <v>2008</v>
      </c>
      <c r="P7" s="71">
        <f>'Динамика издержек'!F7</f>
        <v>2009</v>
      </c>
      <c r="Q7" s="84"/>
      <c r="R7" s="20"/>
      <c r="T7" s="55" t="s">
        <v>169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2:50" ht="18">
      <c r="B8" s="21"/>
      <c r="C8" s="69"/>
      <c r="D8" s="69"/>
      <c r="E8" s="72"/>
      <c r="F8" s="72"/>
      <c r="G8" s="72"/>
      <c r="H8" s="72"/>
      <c r="I8" s="72"/>
      <c r="J8" s="72"/>
      <c r="K8" s="43" t="s">
        <v>62</v>
      </c>
      <c r="L8" s="43" t="s">
        <v>97</v>
      </c>
      <c r="M8" s="43" t="s">
        <v>62</v>
      </c>
      <c r="N8" s="43" t="s">
        <v>97</v>
      </c>
      <c r="O8" s="72"/>
      <c r="P8" s="72"/>
      <c r="Q8" s="85"/>
      <c r="R8" s="20"/>
      <c r="T8" s="56" t="s">
        <v>170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2:32" s="8" customFormat="1" ht="25.5">
      <c r="B9" s="2"/>
      <c r="C9" s="9" t="s">
        <v>8</v>
      </c>
      <c r="D9" s="10" t="s">
        <v>98</v>
      </c>
      <c r="E9" s="32">
        <v>100</v>
      </c>
      <c r="F9" s="33">
        <f>E9/E$14</f>
        <v>0.19646365422396855</v>
      </c>
      <c r="G9" s="32">
        <v>120</v>
      </c>
      <c r="H9" s="33">
        <f>G9/G$14</f>
        <v>0.21897810218978103</v>
      </c>
      <c r="I9" s="32">
        <v>135</v>
      </c>
      <c r="J9" s="33">
        <f aca="true" t="shared" si="0" ref="J9:J14">I9/I$14</f>
        <v>0.22310361923648983</v>
      </c>
      <c r="K9" s="31">
        <f aca="true" t="shared" si="1" ref="K9:L14">I9-E9</f>
        <v>35</v>
      </c>
      <c r="L9" s="33">
        <f t="shared" si="1"/>
        <v>0.026639965012521277</v>
      </c>
      <c r="M9" s="31">
        <f aca="true" t="shared" si="2" ref="M9:N14">I9-G9</f>
        <v>15</v>
      </c>
      <c r="N9" s="33">
        <f t="shared" si="2"/>
        <v>0.004125517046708799</v>
      </c>
      <c r="O9" s="33">
        <f aca="true" t="shared" si="3" ref="O9:O14">I9/E9</f>
        <v>1.35</v>
      </c>
      <c r="P9" s="33">
        <f aca="true" t="shared" si="4" ref="P9:P14">I9/G9</f>
        <v>1.125</v>
      </c>
      <c r="Q9" s="33">
        <f aca="true" t="shared" si="5" ref="Q9:Q14">G9/E9</f>
        <v>1.2</v>
      </c>
      <c r="R9" s="3"/>
      <c r="T9" s="56" t="s">
        <v>171</v>
      </c>
      <c r="AA9" s="11"/>
      <c r="AB9" s="11"/>
      <c r="AC9" s="11"/>
      <c r="AD9" s="11"/>
      <c r="AE9" s="11"/>
      <c r="AF9" s="11"/>
    </row>
    <row r="10" spans="2:32" s="8" customFormat="1" ht="25.5">
      <c r="B10" s="2"/>
      <c r="C10" s="9" t="s">
        <v>3</v>
      </c>
      <c r="D10" s="10" t="s">
        <v>99</v>
      </c>
      <c r="E10" s="31">
        <f>'А-з состава и стр-ры издержек'!E10</f>
        <v>180</v>
      </c>
      <c r="F10" s="33">
        <f aca="true" t="shared" si="6" ref="F10:H14">E10/E$14</f>
        <v>0.35363457760314343</v>
      </c>
      <c r="G10" s="31">
        <f>'А-з состава и стр-ры издержек'!G10</f>
        <v>190</v>
      </c>
      <c r="H10" s="33">
        <f t="shared" si="6"/>
        <v>0.3467153284671533</v>
      </c>
      <c r="I10" s="31">
        <f>'А-з состава и стр-ры издержек'!I10</f>
        <v>220</v>
      </c>
      <c r="J10" s="33">
        <f t="shared" si="0"/>
        <v>0.3635762683853908</v>
      </c>
      <c r="K10" s="31">
        <f t="shared" si="1"/>
        <v>40</v>
      </c>
      <c r="L10" s="33">
        <f t="shared" si="1"/>
        <v>0.009941690782247381</v>
      </c>
      <c r="M10" s="31">
        <f t="shared" si="2"/>
        <v>30</v>
      </c>
      <c r="N10" s="33">
        <f t="shared" si="2"/>
        <v>0.016860939918237505</v>
      </c>
      <c r="O10" s="33">
        <f t="shared" si="3"/>
        <v>1.2222222222222223</v>
      </c>
      <c r="P10" s="33">
        <f t="shared" si="4"/>
        <v>1.1578947368421053</v>
      </c>
      <c r="Q10" s="33">
        <f t="shared" si="5"/>
        <v>1.0555555555555556</v>
      </c>
      <c r="R10" s="3"/>
      <c r="T10" s="56" t="s">
        <v>172</v>
      </c>
      <c r="AA10" s="11"/>
      <c r="AB10" s="11"/>
      <c r="AC10" s="11"/>
      <c r="AD10" s="11"/>
      <c r="AE10" s="11"/>
      <c r="AF10" s="11"/>
    </row>
    <row r="11" spans="2:32" s="8" customFormat="1" ht="25.5">
      <c r="B11" s="2"/>
      <c r="C11" s="9" t="s">
        <v>1</v>
      </c>
      <c r="D11" s="10" t="s">
        <v>100</v>
      </c>
      <c r="E11" s="32">
        <v>65</v>
      </c>
      <c r="F11" s="33">
        <f t="shared" si="6"/>
        <v>0.12770137524557956</v>
      </c>
      <c r="G11" s="32">
        <v>70</v>
      </c>
      <c r="H11" s="33">
        <f t="shared" si="6"/>
        <v>0.12773722627737227</v>
      </c>
      <c r="I11" s="32">
        <v>79.5</v>
      </c>
      <c r="J11" s="33">
        <f t="shared" si="0"/>
        <v>0.13138324243926625</v>
      </c>
      <c r="K11" s="31">
        <f t="shared" si="1"/>
        <v>14.5</v>
      </c>
      <c r="L11" s="33">
        <f t="shared" si="1"/>
        <v>0.003681867193686683</v>
      </c>
      <c r="M11" s="31">
        <f t="shared" si="2"/>
        <v>9.5</v>
      </c>
      <c r="N11" s="33">
        <f t="shared" si="2"/>
        <v>0.0036460161618939724</v>
      </c>
      <c r="O11" s="33">
        <f t="shared" si="3"/>
        <v>1.2230769230769232</v>
      </c>
      <c r="P11" s="33">
        <f t="shared" si="4"/>
        <v>1.1357142857142857</v>
      </c>
      <c r="Q11" s="33">
        <f t="shared" si="5"/>
        <v>1.0769230769230769</v>
      </c>
      <c r="R11" s="3"/>
      <c r="T11" s="56" t="s">
        <v>173</v>
      </c>
      <c r="AA11" s="11"/>
      <c r="AB11" s="11"/>
      <c r="AC11" s="11"/>
      <c r="AD11" s="11"/>
      <c r="AE11" s="11"/>
      <c r="AF11" s="11"/>
    </row>
    <row r="12" spans="2:32" s="8" customFormat="1" ht="38.25">
      <c r="B12" s="2"/>
      <c r="C12" s="9" t="s">
        <v>2</v>
      </c>
      <c r="D12" s="10" t="s">
        <v>101</v>
      </c>
      <c r="E12" s="31">
        <f>'А-з состава и стр-ры издержек'!E13</f>
        <v>14</v>
      </c>
      <c r="F12" s="33">
        <f t="shared" si="6"/>
        <v>0.0275049115913556</v>
      </c>
      <c r="G12" s="31">
        <f>'А-з состава и стр-ры издержек'!G13</f>
        <v>15</v>
      </c>
      <c r="H12" s="33">
        <f t="shared" si="6"/>
        <v>0.02737226277372263</v>
      </c>
      <c r="I12" s="31">
        <f>'А-з состава и стр-ры издержек'!I13</f>
        <v>15.6</v>
      </c>
      <c r="J12" s="33">
        <f t="shared" si="0"/>
        <v>0.025780862667327712</v>
      </c>
      <c r="K12" s="31">
        <f t="shared" si="1"/>
        <v>1.5999999999999996</v>
      </c>
      <c r="L12" s="33">
        <f t="shared" si="1"/>
        <v>-0.0017240489240278878</v>
      </c>
      <c r="M12" s="31">
        <f t="shared" si="2"/>
        <v>0.5999999999999996</v>
      </c>
      <c r="N12" s="33">
        <f t="shared" si="2"/>
        <v>-0.001591400106394917</v>
      </c>
      <c r="O12" s="33">
        <f t="shared" si="3"/>
        <v>1.1142857142857143</v>
      </c>
      <c r="P12" s="33">
        <f t="shared" si="4"/>
        <v>1.04</v>
      </c>
      <c r="Q12" s="33">
        <f t="shared" si="5"/>
        <v>1.0714285714285714</v>
      </c>
      <c r="R12" s="3"/>
      <c r="T12" s="56" t="s">
        <v>174</v>
      </c>
      <c r="AA12" s="11"/>
      <c r="AB12" s="11"/>
      <c r="AC12" s="11"/>
      <c r="AD12" s="11"/>
      <c r="AE12" s="11"/>
      <c r="AF12" s="11"/>
    </row>
    <row r="13" spans="2:32" s="8" customFormat="1" ht="25.5">
      <c r="B13" s="2"/>
      <c r="C13" s="9" t="s">
        <v>4</v>
      </c>
      <c r="D13" s="10" t="s">
        <v>102</v>
      </c>
      <c r="E13" s="32">
        <v>150</v>
      </c>
      <c r="F13" s="33">
        <f t="shared" si="6"/>
        <v>0.29469548133595286</v>
      </c>
      <c r="G13" s="32">
        <v>153</v>
      </c>
      <c r="H13" s="33">
        <f t="shared" si="6"/>
        <v>0.2791970802919708</v>
      </c>
      <c r="I13" s="32">
        <v>155</v>
      </c>
      <c r="J13" s="33">
        <f t="shared" si="0"/>
        <v>0.2561560072715254</v>
      </c>
      <c r="K13" s="31">
        <f t="shared" si="1"/>
        <v>5</v>
      </c>
      <c r="L13" s="33">
        <f t="shared" si="1"/>
        <v>-0.03853947406442748</v>
      </c>
      <c r="M13" s="31">
        <f t="shared" si="2"/>
        <v>2</v>
      </c>
      <c r="N13" s="33">
        <f t="shared" si="2"/>
        <v>-0.023041073020445446</v>
      </c>
      <c r="O13" s="33">
        <f t="shared" si="3"/>
        <v>1.0333333333333334</v>
      </c>
      <c r="P13" s="33">
        <f t="shared" si="4"/>
        <v>1.0130718954248366</v>
      </c>
      <c r="Q13" s="33">
        <f t="shared" si="5"/>
        <v>1.02</v>
      </c>
      <c r="R13" s="3"/>
      <c r="T13" s="56" t="s">
        <v>175</v>
      </c>
      <c r="AA13" s="11"/>
      <c r="AB13" s="11"/>
      <c r="AC13" s="11"/>
      <c r="AD13" s="11"/>
      <c r="AE13" s="11"/>
      <c r="AF13" s="11"/>
    </row>
    <row r="14" spans="2:32" s="8" customFormat="1" ht="12.75">
      <c r="B14" s="2"/>
      <c r="C14" s="9" t="s">
        <v>5</v>
      </c>
      <c r="D14" s="10" t="s">
        <v>103</v>
      </c>
      <c r="E14" s="31">
        <f>SUM(E9:E13)</f>
        <v>509</v>
      </c>
      <c r="F14" s="33">
        <f t="shared" si="6"/>
        <v>1</v>
      </c>
      <c r="G14" s="31">
        <f>SUM(G9:G13)</f>
        <v>548</v>
      </c>
      <c r="H14" s="33">
        <f t="shared" si="6"/>
        <v>1</v>
      </c>
      <c r="I14" s="31">
        <f>SUM(I9:I13)</f>
        <v>605.1</v>
      </c>
      <c r="J14" s="33">
        <f t="shared" si="0"/>
        <v>1</v>
      </c>
      <c r="K14" s="31">
        <f t="shared" si="1"/>
        <v>96.10000000000002</v>
      </c>
      <c r="L14" s="33">
        <f t="shared" si="1"/>
        <v>0</v>
      </c>
      <c r="M14" s="31">
        <f t="shared" si="2"/>
        <v>57.10000000000002</v>
      </c>
      <c r="N14" s="33">
        <f t="shared" si="2"/>
        <v>0</v>
      </c>
      <c r="O14" s="33">
        <f t="shared" si="3"/>
        <v>1.1888015717092337</v>
      </c>
      <c r="P14" s="33">
        <f t="shared" si="4"/>
        <v>1.104197080291971</v>
      </c>
      <c r="Q14" s="33">
        <f t="shared" si="5"/>
        <v>1.0766208251473477</v>
      </c>
      <c r="R14" s="3"/>
      <c r="T14" s="56" t="s">
        <v>176</v>
      </c>
      <c r="AA14" s="11"/>
      <c r="AB14" s="11"/>
      <c r="AC14" s="11"/>
      <c r="AD14" s="11"/>
      <c r="AE14" s="11"/>
      <c r="AF14" s="11"/>
    </row>
    <row r="15" spans="2:32" s="8" customFormat="1" ht="38.25">
      <c r="B15" s="2"/>
      <c r="C15" s="36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"/>
      <c r="T15" s="56" t="s">
        <v>177</v>
      </c>
      <c r="AA15" s="11"/>
      <c r="AB15" s="11"/>
      <c r="AC15" s="11"/>
      <c r="AD15" s="11"/>
      <c r="AE15" s="11"/>
      <c r="AF15" s="11"/>
    </row>
    <row r="16" spans="2:32" s="12" customFormat="1" ht="39" thickBot="1">
      <c r="B16" s="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4"/>
      <c r="T16" s="56" t="s">
        <v>178</v>
      </c>
      <c r="AA16" s="11"/>
      <c r="AB16" s="11"/>
      <c r="AC16" s="11"/>
      <c r="AD16" s="11"/>
      <c r="AE16" s="11"/>
      <c r="AF16" s="11"/>
    </row>
    <row r="17" ht="12" customHeight="1">
      <c r="T17" s="57"/>
    </row>
    <row r="18" ht="12" customHeight="1">
      <c r="T18" s="57"/>
    </row>
    <row r="19" ht="12" customHeight="1">
      <c r="T19" s="57"/>
    </row>
    <row r="20" ht="12" customHeight="1">
      <c r="T20" s="57"/>
    </row>
    <row r="21" ht="12" customHeight="1">
      <c r="T21" s="58"/>
    </row>
    <row r="22" ht="12" customHeight="1">
      <c r="T22" s="58"/>
    </row>
    <row r="23" ht="12" customHeight="1">
      <c r="T23" s="58"/>
    </row>
    <row r="24" ht="12" customHeight="1">
      <c r="T24" s="58"/>
    </row>
  </sheetData>
  <sheetProtection/>
  <mergeCells count="20">
    <mergeCell ref="E7:E8"/>
    <mergeCell ref="F7:F8"/>
    <mergeCell ref="G7:G8"/>
    <mergeCell ref="H7:H8"/>
    <mergeCell ref="Q6:Q8"/>
    <mergeCell ref="K7:L7"/>
    <mergeCell ref="M7:N7"/>
    <mergeCell ref="O7:O8"/>
    <mergeCell ref="P7:P8"/>
    <mergeCell ref="I7:I8"/>
    <mergeCell ref="J7:J8"/>
    <mergeCell ref="C3:Q3"/>
    <mergeCell ref="C4:Q4"/>
    <mergeCell ref="C6:C8"/>
    <mergeCell ref="D6:D8"/>
    <mergeCell ref="E6:F6"/>
    <mergeCell ref="G6:H6"/>
    <mergeCell ref="I6:J6"/>
    <mergeCell ref="K6:N6"/>
    <mergeCell ref="O6:P6"/>
  </mergeCells>
  <hyperlinks>
    <hyperlink ref="T6" location="'Динамика осн. пок-лей'!A1" display="Динамика основных показателей деятельности "/>
    <hyperlink ref="T7" location="'Динамика издержек'!A1" display="Информация о динамике издержек обращения "/>
    <hyperlink ref="T8" location="'А-з состава и стр-ры издержек'!A1" display="Анализ состава и структуры издержек обращения"/>
    <hyperlink ref="T9" location="'А-з издержек по эк. эл-там'!A1" display="Анализ издержек обращения по экономическим элементам"/>
    <hyperlink ref="T10" location="'Влияние динамики т-оборота'!A1" display="Алгоритм расчета влияния динамики товарооборота на сумму и уровень издержек обращения"/>
    <hyperlink ref="T11" location="'Влияние стр-ры т-оборота'!A1" display="Расчет влияния изменения структуры товарооборота на уровень издержек обращения"/>
    <hyperlink ref="T12" location="'Влияние товарных запасов'!A1" display="Влияние средних товарных запасов и товарооборачиваемости на сумму расходов на хранение, доработку, сортировку и упаковку товаров "/>
    <hyperlink ref="T13" location="'Обобщение влияния ф-ров'!A1" display="Обобщение данных анализа влияния факторов на общую сумму и уровень издержек обращения"/>
    <hyperlink ref="T14" location="'А-з пок-лей по труду и ЗП'!A1" display="Анализ показателей по труду и заработной плате"/>
    <hyperlink ref="T15" location="'Влияние пок-лей по труду и ЗП'!A1" display="Расчет влияния численности торговых работников и их средней заработной платы на расходы по оплату труда персонала"/>
    <hyperlink ref="T16" location="'Влияние выработки и СЗП'!A1" display="Расчет влияния выработки и средней заработной платы одного торгового работника на сумму расходов по оплате труда персонала"/>
  </hyperlinks>
  <printOptions/>
  <pageMargins left="0.7" right="0.7" top="0.75" bottom="0.75" header="0.3" footer="0.3"/>
  <pageSetup horizontalDpi="300" verticalDpi="300" orientation="landscape" paperSize="9" scale="7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8" min="1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AQ25"/>
  <sheetViews>
    <sheetView showGridLines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4" customWidth="1"/>
    <col min="4" max="4" width="26.375" style="14" customWidth="1"/>
    <col min="5" max="5" width="8.125" style="15" bestFit="1" customWidth="1"/>
    <col min="6" max="6" width="11.25390625" style="15" customWidth="1"/>
    <col min="7" max="7" width="8.125" style="15" bestFit="1" customWidth="1"/>
    <col min="8" max="8" width="11.00390625" style="15" customWidth="1"/>
    <col min="9" max="9" width="8.125" style="15" bestFit="1" customWidth="1"/>
    <col min="10" max="10" width="10.375" style="15" customWidth="1"/>
    <col min="11" max="11" width="3.00390625" style="1" customWidth="1"/>
    <col min="12" max="12" width="2.75390625" style="1" customWidth="1"/>
    <col min="13" max="13" width="53.25390625" style="54" customWidth="1"/>
    <col min="14" max="14" width="2.75390625" style="1" customWidth="1"/>
    <col min="15" max="15" width="6.625" style="1" bestFit="1" customWidth="1"/>
    <col min="16" max="16" width="2.75390625" style="1" customWidth="1"/>
    <col min="17" max="17" width="6.625" style="1" bestFit="1" customWidth="1"/>
    <col min="18" max="19" width="2.75390625" style="1" customWidth="1"/>
    <col min="20" max="24" width="3.25390625" style="1" bestFit="1" customWidth="1"/>
    <col min="25" max="25" width="4.75390625" style="1" bestFit="1" customWidth="1"/>
    <col min="26" max="16384" width="2.75390625" style="1" customWidth="1"/>
  </cols>
  <sheetData>
    <row r="1" spans="2:18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3"/>
      <c r="N1" s="5"/>
      <c r="O1" s="5"/>
      <c r="P1" s="5"/>
      <c r="Q1" s="5"/>
      <c r="R1" s="5"/>
    </row>
    <row r="2" spans="2:43" ht="11.25" customHeight="1">
      <c r="B2" s="16"/>
      <c r="C2" s="17"/>
      <c r="D2" s="17"/>
      <c r="E2" s="17"/>
      <c r="F2" s="17"/>
      <c r="G2" s="17"/>
      <c r="H2" s="17"/>
      <c r="I2" s="17"/>
      <c r="J2" s="17"/>
      <c r="K2" s="18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43" ht="33" customHeight="1">
      <c r="B3" s="19"/>
      <c r="C3" s="59" t="s">
        <v>104</v>
      </c>
      <c r="D3" s="59"/>
      <c r="E3" s="59"/>
      <c r="F3" s="59"/>
      <c r="G3" s="59"/>
      <c r="H3" s="59"/>
      <c r="I3" s="59"/>
      <c r="J3" s="59"/>
      <c r="K3" s="20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2:43" ht="18" customHeight="1">
      <c r="B4" s="19"/>
      <c r="C4" s="76" t="str">
        <f>CONCATENATE('Динамика издержек'!C4," за ",'Динамика издержек'!G7," год")</f>
        <v>магазина № 555  за 2010 год</v>
      </c>
      <c r="D4" s="76"/>
      <c r="E4" s="76"/>
      <c r="F4" s="76"/>
      <c r="G4" s="76"/>
      <c r="H4" s="76"/>
      <c r="I4" s="76"/>
      <c r="J4" s="76"/>
      <c r="K4" s="20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2:43" ht="12.75" customHeight="1">
      <c r="B5" s="19"/>
      <c r="C5" s="7"/>
      <c r="D5" s="7"/>
      <c r="E5" s="7"/>
      <c r="F5" s="7"/>
      <c r="G5" s="7"/>
      <c r="H5" s="7"/>
      <c r="I5" s="7"/>
      <c r="J5" s="7"/>
      <c r="K5" s="20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2:43" ht="21" customHeight="1">
      <c r="B6" s="21"/>
      <c r="C6" s="69" t="s">
        <v>0</v>
      </c>
      <c r="D6" s="69" t="s">
        <v>70</v>
      </c>
      <c r="E6" s="77" t="s">
        <v>105</v>
      </c>
      <c r="F6" s="77"/>
      <c r="G6" s="77" t="s">
        <v>107</v>
      </c>
      <c r="H6" s="77"/>
      <c r="I6" s="77" t="s">
        <v>106</v>
      </c>
      <c r="J6" s="77"/>
      <c r="K6" s="20"/>
      <c r="M6" s="55" t="s">
        <v>168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2:43" ht="27">
      <c r="B7" s="21"/>
      <c r="C7" s="69"/>
      <c r="D7" s="69"/>
      <c r="E7" s="42" t="s">
        <v>60</v>
      </c>
      <c r="F7" s="42" t="s">
        <v>61</v>
      </c>
      <c r="G7" s="42" t="s">
        <v>60</v>
      </c>
      <c r="H7" s="42" t="s">
        <v>61</v>
      </c>
      <c r="I7" s="42" t="s">
        <v>108</v>
      </c>
      <c r="J7" s="42" t="s">
        <v>109</v>
      </c>
      <c r="K7" s="20"/>
      <c r="M7" s="55" t="s">
        <v>169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2:25" s="8" customFormat="1" ht="12.75">
      <c r="B8" s="2"/>
      <c r="C8" s="9" t="s">
        <v>8</v>
      </c>
      <c r="D8" s="10" t="s">
        <v>63</v>
      </c>
      <c r="E8" s="31">
        <f>'А-з состава и стр-ры издержек'!G9</f>
        <v>53</v>
      </c>
      <c r="F8" s="33">
        <f>'А-з состава и стр-ры издержек'!H9</f>
        <v>0.008688524590163935</v>
      </c>
      <c r="G8" s="31">
        <f>E8/E$24*G$24</f>
        <v>59.950819672131146</v>
      </c>
      <c r="H8" s="33">
        <f>G8/G$24</f>
        <v>0.008688524590163935</v>
      </c>
      <c r="I8" s="31">
        <f>G8-E8</f>
        <v>6.950819672131146</v>
      </c>
      <c r="J8" s="33">
        <f>H8-F8</f>
        <v>0</v>
      </c>
      <c r="K8" s="3"/>
      <c r="M8" s="56" t="s">
        <v>170</v>
      </c>
      <c r="T8" s="11"/>
      <c r="U8" s="11"/>
      <c r="V8" s="11"/>
      <c r="W8" s="11"/>
      <c r="X8" s="11"/>
      <c r="Y8" s="11"/>
    </row>
    <row r="9" spans="2:25" s="8" customFormat="1" ht="25.5">
      <c r="B9" s="2"/>
      <c r="C9" s="9" t="s">
        <v>3</v>
      </c>
      <c r="D9" s="10" t="s">
        <v>64</v>
      </c>
      <c r="E9" s="31">
        <f>'А-з состава и стр-ры издержек'!G10</f>
        <v>190</v>
      </c>
      <c r="F9" s="33">
        <f>'А-з состава и стр-ры издержек'!H10</f>
        <v>0.03114754098360656</v>
      </c>
      <c r="G9" s="31">
        <f>E9/E$24*G$24</f>
        <v>214.91803278688525</v>
      </c>
      <c r="H9" s="33">
        <f aca="true" t="shared" si="0" ref="H9:H23">G9/G$24</f>
        <v>0.03114754098360656</v>
      </c>
      <c r="I9" s="31">
        <f aca="true" t="shared" si="1" ref="I9:I23">G9-E9</f>
        <v>24.91803278688525</v>
      </c>
      <c r="J9" s="33">
        <f aca="true" t="shared" si="2" ref="J9:J23">H9-F9</f>
        <v>0</v>
      </c>
      <c r="K9" s="3"/>
      <c r="M9" s="56" t="s">
        <v>171</v>
      </c>
      <c r="T9" s="11"/>
      <c r="U9" s="11"/>
      <c r="V9" s="11"/>
      <c r="W9" s="11"/>
      <c r="X9" s="11"/>
      <c r="Y9" s="11"/>
    </row>
    <row r="10" spans="2:25" s="8" customFormat="1" ht="38.25">
      <c r="B10" s="2"/>
      <c r="C10" s="9" t="s">
        <v>1</v>
      </c>
      <c r="D10" s="10" t="s">
        <v>65</v>
      </c>
      <c r="E10" s="31">
        <f>'А-з состава и стр-ры издержек'!G11</f>
        <v>14</v>
      </c>
      <c r="F10" s="33">
        <f>'А-з состава и стр-ры издержек'!H11</f>
        <v>0.0022950819672131148</v>
      </c>
      <c r="G10" s="31">
        <f>E10</f>
        <v>14</v>
      </c>
      <c r="H10" s="33">
        <f t="shared" si="0"/>
        <v>0.002028985507246377</v>
      </c>
      <c r="I10" s="31">
        <f t="shared" si="1"/>
        <v>0</v>
      </c>
      <c r="J10" s="33">
        <f t="shared" si="2"/>
        <v>-0.00026609645996673783</v>
      </c>
      <c r="K10" s="3"/>
      <c r="M10" s="56" t="s">
        <v>172</v>
      </c>
      <c r="T10" s="11"/>
      <c r="U10" s="11"/>
      <c r="V10" s="11"/>
      <c r="W10" s="11"/>
      <c r="X10" s="11"/>
      <c r="Y10" s="11"/>
    </row>
    <row r="11" spans="2:25" s="8" customFormat="1" ht="38.25">
      <c r="B11" s="2"/>
      <c r="C11" s="9" t="s">
        <v>2</v>
      </c>
      <c r="D11" s="10" t="s">
        <v>66</v>
      </c>
      <c r="E11" s="31">
        <f>'А-з состава и стр-ры издержек'!G12</f>
        <v>93</v>
      </c>
      <c r="F11" s="33">
        <f>'А-з состава и стр-ры издержек'!H12</f>
        <v>0.015245901639344262</v>
      </c>
      <c r="G11" s="31">
        <f aca="true" t="shared" si="3" ref="G11:G16">E11</f>
        <v>93</v>
      </c>
      <c r="H11" s="33">
        <f t="shared" si="0"/>
        <v>0.013478260869565217</v>
      </c>
      <c r="I11" s="31">
        <f t="shared" si="1"/>
        <v>0</v>
      </c>
      <c r="J11" s="33">
        <f t="shared" si="2"/>
        <v>-0.0017676407697790452</v>
      </c>
      <c r="K11" s="3"/>
      <c r="M11" s="56" t="s">
        <v>173</v>
      </c>
      <c r="T11" s="11"/>
      <c r="U11" s="11"/>
      <c r="V11" s="11"/>
      <c r="W11" s="11"/>
      <c r="X11" s="11"/>
      <c r="Y11" s="11"/>
    </row>
    <row r="12" spans="2:25" s="8" customFormat="1" ht="38.25">
      <c r="B12" s="2"/>
      <c r="C12" s="9" t="s">
        <v>4</v>
      </c>
      <c r="D12" s="10" t="s">
        <v>67</v>
      </c>
      <c r="E12" s="31">
        <f>'А-з состава и стр-ры издержек'!G13</f>
        <v>15</v>
      </c>
      <c r="F12" s="33">
        <f>'А-з состава и стр-ры издержек'!H13</f>
        <v>0.002459016393442623</v>
      </c>
      <c r="G12" s="31">
        <f t="shared" si="3"/>
        <v>15</v>
      </c>
      <c r="H12" s="33">
        <f t="shared" si="0"/>
        <v>0.002173913043478261</v>
      </c>
      <c r="I12" s="31">
        <f t="shared" si="1"/>
        <v>0</v>
      </c>
      <c r="J12" s="33">
        <f t="shared" si="2"/>
        <v>-0.00028510334996436227</v>
      </c>
      <c r="K12" s="3"/>
      <c r="M12" s="56" t="s">
        <v>174</v>
      </c>
      <c r="T12" s="11"/>
      <c r="U12" s="11"/>
      <c r="V12" s="11"/>
      <c r="W12" s="11"/>
      <c r="X12" s="11"/>
      <c r="Y12" s="11"/>
    </row>
    <row r="13" spans="2:25" s="8" customFormat="1" ht="25.5">
      <c r="B13" s="2"/>
      <c r="C13" s="9" t="s">
        <v>5</v>
      </c>
      <c r="D13" s="10" t="s">
        <v>68</v>
      </c>
      <c r="E13" s="31">
        <f>'А-з состава и стр-ры издержек'!G14</f>
        <v>8.5</v>
      </c>
      <c r="F13" s="33">
        <f>'А-з состава и стр-ры издержек'!H14</f>
        <v>0.0013934426229508198</v>
      </c>
      <c r="G13" s="31">
        <f t="shared" si="3"/>
        <v>8.5</v>
      </c>
      <c r="H13" s="33">
        <f t="shared" si="0"/>
        <v>0.0012318840579710144</v>
      </c>
      <c r="I13" s="31">
        <f t="shared" si="1"/>
        <v>0</v>
      </c>
      <c r="J13" s="33">
        <f t="shared" si="2"/>
        <v>-0.00016155856497980536</v>
      </c>
      <c r="K13" s="3"/>
      <c r="M13" s="56" t="s">
        <v>175</v>
      </c>
      <c r="T13" s="11"/>
      <c r="U13" s="11"/>
      <c r="V13" s="11"/>
      <c r="W13" s="11"/>
      <c r="X13" s="11"/>
      <c r="Y13" s="11"/>
    </row>
    <row r="14" spans="2:25" s="8" customFormat="1" ht="38.25">
      <c r="B14" s="2"/>
      <c r="C14" s="9" t="s">
        <v>6</v>
      </c>
      <c r="D14" s="10" t="s">
        <v>69</v>
      </c>
      <c r="E14" s="31">
        <f>'А-з состава и стр-ры издержек'!G15</f>
        <v>1.01</v>
      </c>
      <c r="F14" s="33">
        <f>'А-з состава и стр-ры издержек'!H15</f>
        <v>0.00016557377049180328</v>
      </c>
      <c r="G14" s="31">
        <f t="shared" si="3"/>
        <v>1.01</v>
      </c>
      <c r="H14" s="33">
        <f t="shared" si="0"/>
        <v>0.0001463768115942029</v>
      </c>
      <c r="I14" s="31">
        <f t="shared" si="1"/>
        <v>0</v>
      </c>
      <c r="J14" s="33">
        <f t="shared" si="2"/>
        <v>-1.919695889760037E-05</v>
      </c>
      <c r="K14" s="3"/>
      <c r="M14" s="56" t="s">
        <v>176</v>
      </c>
      <c r="T14" s="11"/>
      <c r="U14" s="11"/>
      <c r="V14" s="11"/>
      <c r="W14" s="11"/>
      <c r="X14" s="11"/>
      <c r="Y14" s="11"/>
    </row>
    <row r="15" spans="2:25" s="8" customFormat="1" ht="38.25">
      <c r="B15" s="2"/>
      <c r="C15" s="9" t="s">
        <v>11</v>
      </c>
      <c r="D15" s="10" t="s">
        <v>71</v>
      </c>
      <c r="E15" s="31">
        <f>'А-з состава и стр-ры издержек'!G16</f>
        <v>17</v>
      </c>
      <c r="F15" s="33">
        <f>'А-з состава и стр-ры издержек'!H16</f>
        <v>0.0027868852459016396</v>
      </c>
      <c r="G15" s="31">
        <f>E15/E$24*G$24</f>
        <v>19.229508196721312</v>
      </c>
      <c r="H15" s="33">
        <f t="shared" si="0"/>
        <v>0.0027868852459016396</v>
      </c>
      <c r="I15" s="31">
        <f t="shared" si="1"/>
        <v>2.229508196721312</v>
      </c>
      <c r="J15" s="33">
        <f t="shared" si="2"/>
        <v>0</v>
      </c>
      <c r="K15" s="3"/>
      <c r="M15" s="56" t="s">
        <v>177</v>
      </c>
      <c r="T15" s="11"/>
      <c r="U15" s="11"/>
      <c r="V15" s="11"/>
      <c r="W15" s="11"/>
      <c r="X15" s="11"/>
      <c r="Y15" s="11"/>
    </row>
    <row r="16" spans="2:25" s="8" customFormat="1" ht="38.25">
      <c r="B16" s="2"/>
      <c r="C16" s="9" t="s">
        <v>12</v>
      </c>
      <c r="D16" s="10" t="s">
        <v>72</v>
      </c>
      <c r="E16" s="31">
        <f>'А-з состава и стр-ры издержек'!G17</f>
        <v>5</v>
      </c>
      <c r="F16" s="33">
        <f>'А-з состава и стр-ры издержек'!H17</f>
        <v>0.000819672131147541</v>
      </c>
      <c r="G16" s="31">
        <f t="shared" si="3"/>
        <v>5</v>
      </c>
      <c r="H16" s="33">
        <f t="shared" si="0"/>
        <v>0.0007246376811594203</v>
      </c>
      <c r="I16" s="31">
        <f t="shared" si="1"/>
        <v>0</v>
      </c>
      <c r="J16" s="33">
        <f t="shared" si="2"/>
        <v>-9.503444998812068E-05</v>
      </c>
      <c r="K16" s="3"/>
      <c r="M16" s="56" t="s">
        <v>178</v>
      </c>
      <c r="T16" s="11"/>
      <c r="U16" s="11"/>
      <c r="V16" s="11"/>
      <c r="W16" s="11"/>
      <c r="X16" s="11"/>
      <c r="Y16" s="11"/>
    </row>
    <row r="17" spans="2:25" s="8" customFormat="1" ht="32.25" customHeight="1">
      <c r="B17" s="2"/>
      <c r="C17" s="9" t="s">
        <v>21</v>
      </c>
      <c r="D17" s="10" t="s">
        <v>77</v>
      </c>
      <c r="E17" s="31">
        <f>'А-з состава и стр-ры издержек'!G18</f>
        <v>0</v>
      </c>
      <c r="F17" s="33">
        <f>'А-з состава и стр-ры издержек'!H18</f>
        <v>0</v>
      </c>
      <c r="G17" s="31">
        <f>E17/E$24*G$24</f>
        <v>0</v>
      </c>
      <c r="H17" s="33">
        <f t="shared" si="0"/>
        <v>0</v>
      </c>
      <c r="I17" s="31">
        <f t="shared" si="1"/>
        <v>0</v>
      </c>
      <c r="J17" s="33">
        <f t="shared" si="2"/>
        <v>0</v>
      </c>
      <c r="K17" s="3"/>
      <c r="M17" s="57"/>
      <c r="T17" s="11"/>
      <c r="U17" s="11"/>
      <c r="V17" s="11"/>
      <c r="W17" s="11"/>
      <c r="X17" s="11"/>
      <c r="Y17" s="11"/>
    </row>
    <row r="18" spans="2:25" s="8" customFormat="1" ht="32.25" customHeight="1">
      <c r="B18" s="2"/>
      <c r="C18" s="9" t="s">
        <v>22</v>
      </c>
      <c r="D18" s="10" t="s">
        <v>73</v>
      </c>
      <c r="E18" s="31">
        <f>'А-з состава и стр-ры издержек'!G19</f>
        <v>0.3</v>
      </c>
      <c r="F18" s="33">
        <f>'А-з состава и стр-ры издержек'!H19</f>
        <v>4.9180327868852456E-05</v>
      </c>
      <c r="G18" s="31">
        <f>E18/E$24*G$24</f>
        <v>0.33934426229508197</v>
      </c>
      <c r="H18" s="33">
        <f t="shared" si="0"/>
        <v>4.9180327868852456E-05</v>
      </c>
      <c r="I18" s="31">
        <f t="shared" si="1"/>
        <v>0.03934426229508198</v>
      </c>
      <c r="J18" s="33">
        <f t="shared" si="2"/>
        <v>0</v>
      </c>
      <c r="K18" s="3"/>
      <c r="M18" s="57"/>
      <c r="T18" s="11"/>
      <c r="U18" s="11"/>
      <c r="V18" s="11"/>
      <c r="W18" s="11"/>
      <c r="X18" s="11"/>
      <c r="Y18" s="11"/>
    </row>
    <row r="19" spans="2:25" s="8" customFormat="1" ht="32.25" customHeight="1">
      <c r="B19" s="2"/>
      <c r="C19" s="9" t="s">
        <v>81</v>
      </c>
      <c r="D19" s="10" t="s">
        <v>74</v>
      </c>
      <c r="E19" s="31">
        <f>'А-з состава и стр-ры издержек'!G20</f>
        <v>83</v>
      </c>
      <c r="F19" s="33">
        <f>'А-з состава и стр-ры издержек'!H20</f>
        <v>0.01360655737704918</v>
      </c>
      <c r="G19" s="31">
        <f>E19/E$24*G$24</f>
        <v>93.88524590163934</v>
      </c>
      <c r="H19" s="33">
        <f t="shared" si="0"/>
        <v>0.01360655737704918</v>
      </c>
      <c r="I19" s="31">
        <f t="shared" si="1"/>
        <v>10.885245901639337</v>
      </c>
      <c r="J19" s="33">
        <f t="shared" si="2"/>
        <v>0</v>
      </c>
      <c r="K19" s="3"/>
      <c r="M19" s="57"/>
      <c r="T19" s="11"/>
      <c r="U19" s="11"/>
      <c r="V19" s="11"/>
      <c r="W19" s="11"/>
      <c r="X19" s="11"/>
      <c r="Y19" s="11"/>
    </row>
    <row r="20" spans="2:25" s="8" customFormat="1" ht="32.25" customHeight="1">
      <c r="B20" s="2"/>
      <c r="C20" s="9" t="s">
        <v>82</v>
      </c>
      <c r="D20" s="10" t="s">
        <v>75</v>
      </c>
      <c r="E20" s="31">
        <f>'А-з состава и стр-ры издержек'!G21</f>
        <v>9</v>
      </c>
      <c r="F20" s="33">
        <f>'А-з состава и стр-ры издержек'!H21</f>
        <v>0.0014754098360655738</v>
      </c>
      <c r="G20" s="31">
        <f>E20</f>
        <v>9</v>
      </c>
      <c r="H20" s="33">
        <f t="shared" si="0"/>
        <v>0.0013043478260869566</v>
      </c>
      <c r="I20" s="31">
        <f t="shared" si="1"/>
        <v>0</v>
      </c>
      <c r="J20" s="33">
        <f t="shared" si="2"/>
        <v>-0.00017106200997861714</v>
      </c>
      <c r="K20" s="3"/>
      <c r="M20" s="57"/>
      <c r="T20" s="11"/>
      <c r="U20" s="11"/>
      <c r="V20" s="11"/>
      <c r="W20" s="11"/>
      <c r="X20" s="11"/>
      <c r="Y20" s="11"/>
    </row>
    <row r="21" spans="2:25" s="8" customFormat="1" ht="38.25">
      <c r="B21" s="2"/>
      <c r="C21" s="9" t="s">
        <v>83</v>
      </c>
      <c r="D21" s="10" t="s">
        <v>76</v>
      </c>
      <c r="E21" s="31">
        <f>'А-з состава и стр-ры издержек'!G22</f>
        <v>27</v>
      </c>
      <c r="F21" s="33">
        <f>'А-з состава и стр-ры издержек'!H22</f>
        <v>0.004426229508196721</v>
      </c>
      <c r="G21" s="31">
        <f>E21</f>
        <v>27</v>
      </c>
      <c r="H21" s="33">
        <f t="shared" si="0"/>
        <v>0.00391304347826087</v>
      </c>
      <c r="I21" s="31">
        <f t="shared" si="1"/>
        <v>0</v>
      </c>
      <c r="J21" s="33">
        <f t="shared" si="2"/>
        <v>-0.0005131860299358512</v>
      </c>
      <c r="K21" s="3"/>
      <c r="M21" s="58"/>
      <c r="T21" s="11"/>
      <c r="U21" s="11"/>
      <c r="V21" s="11"/>
      <c r="W21" s="11"/>
      <c r="X21" s="11"/>
      <c r="Y21" s="11"/>
    </row>
    <row r="22" spans="2:25" s="8" customFormat="1" ht="32.25" customHeight="1">
      <c r="B22" s="2"/>
      <c r="C22" s="9" t="s">
        <v>84</v>
      </c>
      <c r="D22" s="10" t="s">
        <v>78</v>
      </c>
      <c r="E22" s="31">
        <f>'А-з состава и стр-ры издержек'!G23</f>
        <v>9</v>
      </c>
      <c r="F22" s="33">
        <f>'А-з состава и стр-ры издержек'!H23</f>
        <v>0.0014754098360655738</v>
      </c>
      <c r="G22" s="31">
        <f>E22/E$24*G$24</f>
        <v>10.180327868852459</v>
      </c>
      <c r="H22" s="33">
        <f t="shared" si="0"/>
        <v>0.0014754098360655738</v>
      </c>
      <c r="I22" s="31">
        <f t="shared" si="1"/>
        <v>1.1803278688524586</v>
      </c>
      <c r="J22" s="33">
        <f t="shared" si="2"/>
        <v>0</v>
      </c>
      <c r="K22" s="3"/>
      <c r="M22" s="58"/>
      <c r="T22" s="11"/>
      <c r="U22" s="11"/>
      <c r="V22" s="11"/>
      <c r="W22" s="11"/>
      <c r="X22" s="11"/>
      <c r="Y22" s="11"/>
    </row>
    <row r="23" spans="2:25" s="8" customFormat="1" ht="32.25" customHeight="1">
      <c r="B23" s="2"/>
      <c r="C23" s="9" t="s">
        <v>85</v>
      </c>
      <c r="D23" s="10" t="s">
        <v>79</v>
      </c>
      <c r="E23" s="31">
        <f>'А-з состава и стр-ры издержек'!G24</f>
        <v>524.81</v>
      </c>
      <c r="F23" s="33">
        <f>'А-з состава и стр-ры издержек'!H24</f>
        <v>0.08603442622950819</v>
      </c>
      <c r="G23" s="31">
        <f>SUM(G8:G22)</f>
        <v>571.0132786885246</v>
      </c>
      <c r="H23" s="33">
        <f t="shared" si="0"/>
        <v>0.08275554763601806</v>
      </c>
      <c r="I23" s="31">
        <f t="shared" si="1"/>
        <v>46.20327868852462</v>
      </c>
      <c r="J23" s="33">
        <f t="shared" si="2"/>
        <v>-0.003278878593490131</v>
      </c>
      <c r="K23" s="3"/>
      <c r="M23" s="58"/>
      <c r="T23" s="11"/>
      <c r="U23" s="11"/>
      <c r="V23" s="11"/>
      <c r="W23" s="11"/>
      <c r="X23" s="11"/>
      <c r="Y23" s="11"/>
    </row>
    <row r="24" spans="2:25" s="8" customFormat="1" ht="32.25" customHeight="1">
      <c r="B24" s="2"/>
      <c r="C24" s="9" t="s">
        <v>86</v>
      </c>
      <c r="D24" s="10" t="s">
        <v>80</v>
      </c>
      <c r="E24" s="73">
        <f>'А-з состава и стр-ры издержек'!G25</f>
        <v>6100</v>
      </c>
      <c r="F24" s="75"/>
      <c r="G24" s="73">
        <f>'А-з состава и стр-ры издержек'!I25</f>
        <v>6900</v>
      </c>
      <c r="H24" s="75"/>
      <c r="I24" s="86" t="s">
        <v>110</v>
      </c>
      <c r="J24" s="87"/>
      <c r="K24" s="3"/>
      <c r="M24" s="58"/>
      <c r="T24" s="11"/>
      <c r="U24" s="11"/>
      <c r="V24" s="11"/>
      <c r="W24" s="11"/>
      <c r="X24" s="11"/>
      <c r="Y24" s="11"/>
    </row>
    <row r="25" spans="2:25" s="12" customFormat="1" ht="11.25" thickBot="1">
      <c r="B25" s="4"/>
      <c r="C25" s="35"/>
      <c r="D25" s="35"/>
      <c r="E25" s="35"/>
      <c r="F25" s="35"/>
      <c r="G25" s="35"/>
      <c r="H25" s="35"/>
      <c r="I25" s="35"/>
      <c r="J25" s="35"/>
      <c r="K25" s="34"/>
      <c r="M25" s="54"/>
      <c r="T25" s="11"/>
      <c r="U25" s="11"/>
      <c r="V25" s="11"/>
      <c r="W25" s="11"/>
      <c r="X25" s="11"/>
      <c r="Y25" s="11"/>
    </row>
  </sheetData>
  <sheetProtection/>
  <mergeCells count="10">
    <mergeCell ref="E24:F24"/>
    <mergeCell ref="G24:H24"/>
    <mergeCell ref="I24:J24"/>
    <mergeCell ref="C3:J3"/>
    <mergeCell ref="C4:J4"/>
    <mergeCell ref="C6:C7"/>
    <mergeCell ref="D6:D7"/>
    <mergeCell ref="E6:F6"/>
    <mergeCell ref="G6:H6"/>
    <mergeCell ref="I6:J6"/>
  </mergeCells>
  <hyperlinks>
    <hyperlink ref="M6" location="'Динамика осн. пок-лей'!A1" display="Динамика основных показателей деятельности "/>
    <hyperlink ref="M7" location="'Динамика издержек'!A1" display="Информация о динамике издержек обращения "/>
    <hyperlink ref="M8" location="'А-з состава и стр-ры издержек'!A1" display="Анализ состава и структуры издержек обращения"/>
    <hyperlink ref="M9" location="'А-з издержек по эк. эл-там'!A1" display="Анализ издержек обращения по экономическим элементам"/>
    <hyperlink ref="M10" location="'Влияние динамики т-оборота'!A1" display="Алгоритм расчета влияния динамики товарооборота на сумму и уровень издержек обращения"/>
    <hyperlink ref="M11" location="'Влияние стр-ры т-оборота'!A1" display="Расчет влияния изменения структуры товарооборота на уровень издержек обращения"/>
    <hyperlink ref="M12" location="'Влияние товарных запасов'!A1" display="Влияние средних товарных запасов и товарооборачиваемости на сумму расходов на хранение, доработку, сортировку и упаковку товаров "/>
    <hyperlink ref="M13" location="'Обобщение влияния ф-ров'!A1" display="Обобщение данных анализа влияния факторов на общую сумму и уровень издержек обращения"/>
    <hyperlink ref="M14" location="'А-з пок-лей по труду и ЗП'!A1" display="Анализ показателей по труду и заработной плате"/>
    <hyperlink ref="M15" location="'Влияние пок-лей по труду и ЗП'!A1" display="Расчет влияния численности торговых работников и их средней заработной платы на расходы по оплату труда персонала"/>
    <hyperlink ref="M16" location="'Влияние выработки и СЗП'!A1" display="Расчет влияния выработки и средней заработной платы одного торгового работника на сумму расходов по оплате труда персонал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1" min="1" max="2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B1:AQ24"/>
  <sheetViews>
    <sheetView showGridLines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4" customWidth="1"/>
    <col min="4" max="4" width="30.625" style="14" customWidth="1"/>
    <col min="5" max="5" width="9.00390625" style="15" customWidth="1"/>
    <col min="6" max="6" width="11.25390625" style="15" customWidth="1"/>
    <col min="7" max="7" width="9.125" style="15" customWidth="1"/>
    <col min="8" max="8" width="13.875" style="15" customWidth="1"/>
    <col min="9" max="9" width="10.00390625" style="15" bestFit="1" customWidth="1"/>
    <col min="10" max="10" width="14.25390625" style="15" customWidth="1"/>
    <col min="11" max="11" width="3.00390625" style="1" customWidth="1"/>
    <col min="12" max="12" width="2.75390625" style="1" customWidth="1"/>
    <col min="13" max="13" width="53.25390625" style="54" customWidth="1"/>
    <col min="14" max="14" width="2.75390625" style="1" customWidth="1"/>
    <col min="15" max="15" width="6.625" style="1" bestFit="1" customWidth="1"/>
    <col min="16" max="16" width="2.75390625" style="1" customWidth="1"/>
    <col min="17" max="17" width="6.625" style="1" bestFit="1" customWidth="1"/>
    <col min="18" max="19" width="2.75390625" style="1" customWidth="1"/>
    <col min="20" max="24" width="3.25390625" style="1" bestFit="1" customWidth="1"/>
    <col min="25" max="25" width="4.75390625" style="1" bestFit="1" customWidth="1"/>
    <col min="26" max="16384" width="2.75390625" style="1" customWidth="1"/>
  </cols>
  <sheetData>
    <row r="1" spans="2:18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3"/>
      <c r="N1" s="5"/>
      <c r="O1" s="5"/>
      <c r="P1" s="5"/>
      <c r="Q1" s="5"/>
      <c r="R1" s="5"/>
    </row>
    <row r="2" spans="2:43" ht="11.25" customHeight="1">
      <c r="B2" s="16"/>
      <c r="C2" s="17"/>
      <c r="D2" s="17"/>
      <c r="E2" s="17"/>
      <c r="F2" s="17"/>
      <c r="G2" s="17"/>
      <c r="H2" s="17"/>
      <c r="I2" s="17"/>
      <c r="J2" s="17"/>
      <c r="K2" s="18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43" ht="33" customHeight="1">
      <c r="B3" s="19"/>
      <c r="C3" s="59" t="s">
        <v>111</v>
      </c>
      <c r="D3" s="59"/>
      <c r="E3" s="59"/>
      <c r="F3" s="59"/>
      <c r="G3" s="59"/>
      <c r="H3" s="59"/>
      <c r="I3" s="59"/>
      <c r="J3" s="59"/>
      <c r="K3" s="20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2:43" ht="18" customHeight="1">
      <c r="B4" s="19"/>
      <c r="C4" s="76" t="str">
        <f>CONCATENATE('Динамика издержек'!C4," за ",'Динамика издержек'!G7," год")</f>
        <v>магазина № 555  за 2010 год</v>
      </c>
      <c r="D4" s="76"/>
      <c r="E4" s="76"/>
      <c r="F4" s="76"/>
      <c r="G4" s="76"/>
      <c r="H4" s="76"/>
      <c r="I4" s="76"/>
      <c r="J4" s="76"/>
      <c r="K4" s="20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2:43" ht="12.75" customHeight="1">
      <c r="B5" s="19"/>
      <c r="C5" s="7"/>
      <c r="D5" s="7"/>
      <c r="E5" s="7"/>
      <c r="F5" s="7"/>
      <c r="G5" s="7"/>
      <c r="H5" s="7"/>
      <c r="I5" s="7"/>
      <c r="J5" s="7"/>
      <c r="K5" s="20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2:43" ht="50.25" customHeight="1">
      <c r="B6" s="21"/>
      <c r="C6" s="69" t="s">
        <v>0</v>
      </c>
      <c r="D6" s="69" t="s">
        <v>112</v>
      </c>
      <c r="E6" s="78" t="s">
        <v>113</v>
      </c>
      <c r="F6" s="79"/>
      <c r="G6" s="79"/>
      <c r="H6" s="88" t="str">
        <f>CONCATENATE("Фактический уровень издержек обращения за ",F7," в процентах к товарообороту за ",E7," год")</f>
        <v>Фактический уровень издержек обращения за 2010 в процентах к товарообороту за 2009 год</v>
      </c>
      <c r="I6" s="77" t="s">
        <v>115</v>
      </c>
      <c r="J6" s="88" t="s">
        <v>116</v>
      </c>
      <c r="K6" s="20"/>
      <c r="M6" s="55" t="s">
        <v>168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2:43" ht="25.5" customHeight="1">
      <c r="B7" s="21"/>
      <c r="C7" s="69"/>
      <c r="D7" s="69"/>
      <c r="E7" s="27">
        <f>'Динамика издержек'!F7</f>
        <v>2009</v>
      </c>
      <c r="F7" s="27">
        <f>'Динамика издержек'!G7</f>
        <v>2010</v>
      </c>
      <c r="G7" s="47" t="s">
        <v>114</v>
      </c>
      <c r="H7" s="88"/>
      <c r="I7" s="77"/>
      <c r="J7" s="88"/>
      <c r="K7" s="20"/>
      <c r="M7" s="55" t="s">
        <v>169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2:25" s="8" customFormat="1" ht="25.5">
      <c r="B8" s="2"/>
      <c r="C8" s="9" t="s">
        <v>8</v>
      </c>
      <c r="D8" s="10" t="s">
        <v>117</v>
      </c>
      <c r="E8" s="44">
        <v>0.99</v>
      </c>
      <c r="F8" s="44">
        <v>0.9</v>
      </c>
      <c r="G8" s="33">
        <f>F8-E8</f>
        <v>-0.08999999999999997</v>
      </c>
      <c r="H8" s="44">
        <v>0.14</v>
      </c>
      <c r="I8" s="33">
        <f>H8*G8*100</f>
        <v>-1.2599999999999996</v>
      </c>
      <c r="J8" s="44" t="s">
        <v>93</v>
      </c>
      <c r="K8" s="3"/>
      <c r="M8" s="56" t="s">
        <v>170</v>
      </c>
      <c r="T8" s="11"/>
      <c r="U8" s="11"/>
      <c r="V8" s="11"/>
      <c r="W8" s="11"/>
      <c r="X8" s="11"/>
      <c r="Y8" s="11"/>
    </row>
    <row r="9" spans="2:25" s="8" customFormat="1" ht="25.5">
      <c r="B9" s="2"/>
      <c r="C9" s="9" t="s">
        <v>3</v>
      </c>
      <c r="D9" s="10" t="s">
        <v>118</v>
      </c>
      <c r="E9" s="44">
        <v>0.01</v>
      </c>
      <c r="F9" s="44">
        <v>0.1</v>
      </c>
      <c r="G9" s="33">
        <f>F9-E9</f>
        <v>0.09000000000000001</v>
      </c>
      <c r="H9" s="44">
        <v>0.18</v>
      </c>
      <c r="I9" s="33">
        <f>H9*G9*100</f>
        <v>1.6200000000000003</v>
      </c>
      <c r="J9" s="44" t="s">
        <v>93</v>
      </c>
      <c r="K9" s="3"/>
      <c r="M9" s="56" t="s">
        <v>171</v>
      </c>
      <c r="T9" s="11"/>
      <c r="U9" s="11"/>
      <c r="V9" s="11"/>
      <c r="W9" s="11"/>
      <c r="X9" s="11"/>
      <c r="Y9" s="11"/>
    </row>
    <row r="10" spans="2:25" s="8" customFormat="1" ht="25.5">
      <c r="B10" s="2"/>
      <c r="C10" s="9" t="s">
        <v>1</v>
      </c>
      <c r="D10" s="10" t="s">
        <v>119</v>
      </c>
      <c r="E10" s="33">
        <f>SUM(E8:E9)</f>
        <v>1</v>
      </c>
      <c r="F10" s="33">
        <f>SUM(F8:F9)</f>
        <v>1</v>
      </c>
      <c r="G10" s="33">
        <f>F10-E10</f>
        <v>0</v>
      </c>
      <c r="H10" s="33">
        <f>'Динамика издержек'!G9/'Динамика издержек'!F8</f>
        <v>0.0941344262295082</v>
      </c>
      <c r="I10" s="33">
        <f>SUM(I8:I9)</f>
        <v>0.36000000000000076</v>
      </c>
      <c r="J10" s="48">
        <f>I10/100</f>
        <v>0.0036000000000000077</v>
      </c>
      <c r="K10" s="3"/>
      <c r="M10" s="56" t="s">
        <v>172</v>
      </c>
      <c r="T10" s="11"/>
      <c r="U10" s="11"/>
      <c r="V10" s="11"/>
      <c r="W10" s="11"/>
      <c r="X10" s="11"/>
      <c r="Y10" s="11"/>
    </row>
    <row r="11" spans="2:25" s="12" customFormat="1" ht="26.25" thickBot="1">
      <c r="B11" s="4"/>
      <c r="C11" s="35"/>
      <c r="D11" s="35"/>
      <c r="E11" s="35"/>
      <c r="F11" s="35"/>
      <c r="G11" s="35"/>
      <c r="H11" s="35"/>
      <c r="I11" s="35"/>
      <c r="J11" s="35"/>
      <c r="K11" s="34"/>
      <c r="M11" s="56" t="s">
        <v>173</v>
      </c>
      <c r="T11" s="11"/>
      <c r="U11" s="11"/>
      <c r="V11" s="11"/>
      <c r="W11" s="11"/>
      <c r="X11" s="11"/>
      <c r="Y11" s="11"/>
    </row>
    <row r="12" ht="38.25">
      <c r="M12" s="56" t="s">
        <v>174</v>
      </c>
    </row>
    <row r="13" ht="25.5">
      <c r="M13" s="56" t="s">
        <v>175</v>
      </c>
    </row>
    <row r="14" ht="12.75">
      <c r="M14" s="56" t="s">
        <v>176</v>
      </c>
    </row>
    <row r="15" ht="38.25">
      <c r="M15" s="56" t="s">
        <v>177</v>
      </c>
    </row>
    <row r="16" ht="38.25">
      <c r="M16" s="56" t="s">
        <v>178</v>
      </c>
    </row>
    <row r="17" ht="12" customHeight="1">
      <c r="M17" s="57"/>
    </row>
    <row r="18" ht="12" customHeight="1">
      <c r="M18" s="57"/>
    </row>
    <row r="19" ht="12" customHeight="1">
      <c r="M19" s="57"/>
    </row>
    <row r="20" ht="12" customHeight="1">
      <c r="M20" s="57"/>
    </row>
    <row r="21" ht="12" customHeight="1">
      <c r="M21" s="58"/>
    </row>
    <row r="22" ht="12" customHeight="1">
      <c r="M22" s="58"/>
    </row>
    <row r="23" ht="12" customHeight="1">
      <c r="M23" s="58"/>
    </row>
    <row r="24" ht="12" customHeight="1">
      <c r="M24" s="58"/>
    </row>
  </sheetData>
  <sheetProtection/>
  <mergeCells count="8">
    <mergeCell ref="C3:J3"/>
    <mergeCell ref="C4:J4"/>
    <mergeCell ref="C6:C7"/>
    <mergeCell ref="D6:D7"/>
    <mergeCell ref="E6:G6"/>
    <mergeCell ref="H6:H7"/>
    <mergeCell ref="I6:I7"/>
    <mergeCell ref="J6:J7"/>
  </mergeCells>
  <hyperlinks>
    <hyperlink ref="M6" location="'Динамика осн. пок-лей'!A1" display="Динамика основных показателей деятельности "/>
    <hyperlink ref="M7" location="'Динамика издержек'!A1" display="Информация о динамике издержек обращения "/>
    <hyperlink ref="M8" location="'А-з состава и стр-ры издержек'!A1" display="Анализ состава и структуры издержек обращения"/>
    <hyperlink ref="M9" location="'А-з издержек по эк. эл-там'!A1" display="Анализ издержек обращения по экономическим элементам"/>
    <hyperlink ref="M10" location="'Влияние динамики т-оборота'!A1" display="Алгоритм расчета влияния динамики товарооборота на сумму и уровень издержек обращения"/>
    <hyperlink ref="M11" location="'Влияние стр-ры т-оборота'!A1" display="Расчет влияния изменения структуры товарооборота на уровень издержек обращения"/>
    <hyperlink ref="M12" location="'Влияние товарных запасов'!A1" display="Влияние средних товарных запасов и товарооборачиваемости на сумму расходов на хранение, доработку, сортировку и упаковку товаров "/>
    <hyperlink ref="M13" location="'Обобщение влияния ф-ров'!A1" display="Обобщение данных анализа влияния факторов на общую сумму и уровень издержек обращения"/>
    <hyperlink ref="M14" location="'А-з пок-лей по труду и ЗП'!A1" display="Анализ показателей по труду и заработной плате"/>
    <hyperlink ref="M15" location="'Влияние пок-лей по труду и ЗП'!A1" display="Расчет влияния численности торговых работников и их средней заработной платы на расходы по оплату труда персонала"/>
    <hyperlink ref="M16" location="'Влияние выработки и СЗП'!A1" display="Расчет влияния выработки и средней заработной платы одного торгового работника на сумму расходов по оплате труда персонал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1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1" min="1" max="2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AS24"/>
  <sheetViews>
    <sheetView showGridLines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4" customWidth="1"/>
    <col min="4" max="4" width="41.00390625" style="14" customWidth="1"/>
    <col min="5" max="5" width="8.125" style="15" bestFit="1" customWidth="1"/>
    <col min="6" max="6" width="9.25390625" style="15" customWidth="1"/>
    <col min="7" max="8" width="8.125" style="15" bestFit="1" customWidth="1"/>
    <col min="9" max="9" width="10.25390625" style="15" bestFit="1" customWidth="1"/>
    <col min="10" max="10" width="8.25390625" style="15" bestFit="1" customWidth="1"/>
    <col min="11" max="11" width="10.25390625" style="15" customWidth="1"/>
    <col min="12" max="12" width="14.25390625" style="15" customWidth="1"/>
    <col min="13" max="13" width="3.00390625" style="1" customWidth="1"/>
    <col min="14" max="14" width="2.75390625" style="1" customWidth="1"/>
    <col min="15" max="15" width="53.25390625" style="54" customWidth="1"/>
    <col min="16" max="16" width="2.75390625" style="1" customWidth="1"/>
    <col min="17" max="17" width="6.625" style="1" bestFit="1" customWidth="1"/>
    <col min="18" max="18" width="2.75390625" style="1" customWidth="1"/>
    <col min="19" max="19" width="6.625" style="1" bestFit="1" customWidth="1"/>
    <col min="20" max="21" width="2.75390625" style="1" customWidth="1"/>
    <col min="22" max="26" width="3.25390625" style="1" bestFit="1" customWidth="1"/>
    <col min="27" max="27" width="4.75390625" style="1" bestFit="1" customWidth="1"/>
    <col min="28" max="16384" width="2.75390625" style="1" customWidth="1"/>
  </cols>
  <sheetData>
    <row r="1" spans="2:20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3"/>
      <c r="P1" s="5"/>
      <c r="Q1" s="5"/>
      <c r="R1" s="5"/>
      <c r="S1" s="5"/>
      <c r="T1" s="5"/>
    </row>
    <row r="2" spans="2:45" ht="11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2:45" ht="34.5" customHeight="1">
      <c r="B3" s="19"/>
      <c r="C3" s="59" t="s">
        <v>124</v>
      </c>
      <c r="D3" s="59"/>
      <c r="E3" s="59"/>
      <c r="F3" s="59"/>
      <c r="G3" s="59"/>
      <c r="H3" s="59"/>
      <c r="I3" s="59"/>
      <c r="J3" s="59"/>
      <c r="K3" s="59"/>
      <c r="L3" s="59"/>
      <c r="M3" s="20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2:45" ht="18" customHeight="1">
      <c r="B4" s="19"/>
      <c r="C4" s="76" t="str">
        <f>CONCATENATE('Динамика издержек'!C4)</f>
        <v>магазина № 555 </v>
      </c>
      <c r="D4" s="76"/>
      <c r="E4" s="76"/>
      <c r="F4" s="76"/>
      <c r="G4" s="76"/>
      <c r="H4" s="76"/>
      <c r="I4" s="76"/>
      <c r="J4" s="76"/>
      <c r="K4" s="76"/>
      <c r="L4" s="76"/>
      <c r="M4" s="20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2:45" ht="12.75" customHeight="1">
      <c r="B5" s="19"/>
      <c r="C5" s="7"/>
      <c r="D5" s="7"/>
      <c r="E5" s="7"/>
      <c r="F5" s="7"/>
      <c r="G5" s="7"/>
      <c r="H5" s="7"/>
      <c r="I5" s="7"/>
      <c r="J5" s="7"/>
      <c r="K5" s="7"/>
      <c r="L5" s="7"/>
      <c r="M5" s="20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2:45" ht="21">
      <c r="B6" s="21"/>
      <c r="C6" s="69" t="s">
        <v>0</v>
      </c>
      <c r="D6" s="69" t="s">
        <v>13</v>
      </c>
      <c r="E6" s="77" t="s">
        <v>15</v>
      </c>
      <c r="F6" s="77"/>
      <c r="G6" s="77"/>
      <c r="H6" s="78" t="str">
        <f>CONCATENATE("Отклонение ",'Динамика издержек'!G7," года от")</f>
        <v>Отклонение 2010 года от</v>
      </c>
      <c r="I6" s="80"/>
      <c r="J6" s="77" t="str">
        <f>CONCATENATE("Отношение ",'Динамика издержек'!G7," г., %")</f>
        <v>Отношение 2010 г., %</v>
      </c>
      <c r="K6" s="77"/>
      <c r="L6" s="46" t="str">
        <f>CONCATENATE("Отношение ",F7," к ",E7," году")</f>
        <v>Отношение 2009 к 2008 году</v>
      </c>
      <c r="M6" s="20"/>
      <c r="O6" s="55" t="s">
        <v>168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2:45" ht="14.25">
      <c r="B7" s="21"/>
      <c r="C7" s="69"/>
      <c r="D7" s="69"/>
      <c r="E7" s="27">
        <f>'Динамика осн. пок-лей'!F7</f>
        <v>2008</v>
      </c>
      <c r="F7" s="27">
        <f>'Динамика осн. пок-лей'!G7</f>
        <v>2009</v>
      </c>
      <c r="G7" s="27">
        <f>'Динамика осн. пок-лей'!H7</f>
        <v>2010</v>
      </c>
      <c r="H7" s="27">
        <f>E7</f>
        <v>2008</v>
      </c>
      <c r="I7" s="27">
        <f>F7</f>
        <v>2009</v>
      </c>
      <c r="J7" s="27">
        <f>H7</f>
        <v>2008</v>
      </c>
      <c r="K7" s="27">
        <f>I7</f>
        <v>2009</v>
      </c>
      <c r="L7" s="49"/>
      <c r="M7" s="20"/>
      <c r="O7" s="55" t="s">
        <v>169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2:27" s="8" customFormat="1" ht="25.5">
      <c r="B8" s="2"/>
      <c r="C8" s="9" t="s">
        <v>8</v>
      </c>
      <c r="D8" s="10" t="s">
        <v>120</v>
      </c>
      <c r="E8" s="31">
        <f>'Динамика издержек'!E8</f>
        <v>5500</v>
      </c>
      <c r="F8" s="31">
        <f>'Динамика издержек'!F8</f>
        <v>6100</v>
      </c>
      <c r="G8" s="31">
        <f>'Динамика издержек'!G8</f>
        <v>6900</v>
      </c>
      <c r="H8" s="31">
        <f>G8-E8</f>
        <v>1400</v>
      </c>
      <c r="I8" s="31">
        <f>G8-F8</f>
        <v>800</v>
      </c>
      <c r="J8" s="33">
        <f>G8/E8</f>
        <v>1.2545454545454546</v>
      </c>
      <c r="K8" s="33">
        <f>G8/F8</f>
        <v>1.1311475409836065</v>
      </c>
      <c r="L8" s="33">
        <f>F8/E8</f>
        <v>1.1090909090909091</v>
      </c>
      <c r="M8" s="3"/>
      <c r="O8" s="56" t="s">
        <v>170</v>
      </c>
      <c r="V8" s="11"/>
      <c r="W8" s="11"/>
      <c r="X8" s="11"/>
      <c r="Y8" s="11"/>
      <c r="Z8" s="11"/>
      <c r="AA8" s="11"/>
    </row>
    <row r="9" spans="2:27" s="8" customFormat="1" ht="25.5">
      <c r="B9" s="2"/>
      <c r="C9" s="9" t="s">
        <v>3</v>
      </c>
      <c r="D9" s="10" t="s">
        <v>121</v>
      </c>
      <c r="E9" s="31">
        <f>'Динамика осн. пок-лей'!F23</f>
        <v>2200</v>
      </c>
      <c r="F9" s="31">
        <f>'Динамика осн. пок-лей'!G23</f>
        <v>2350</v>
      </c>
      <c r="G9" s="31">
        <f>'Динамика осн. пок-лей'!H23</f>
        <v>2450</v>
      </c>
      <c r="H9" s="31">
        <f>G9-E9</f>
        <v>250</v>
      </c>
      <c r="I9" s="31">
        <f>G9-F9</f>
        <v>100</v>
      </c>
      <c r="J9" s="33">
        <f>G9/E9</f>
        <v>1.1136363636363635</v>
      </c>
      <c r="K9" s="33">
        <f>G9/F9</f>
        <v>1.0425531914893618</v>
      </c>
      <c r="L9" s="33">
        <f>F9/E9</f>
        <v>1.0681818181818181</v>
      </c>
      <c r="M9" s="3"/>
      <c r="O9" s="56" t="s">
        <v>171</v>
      </c>
      <c r="V9" s="11"/>
      <c r="W9" s="11"/>
      <c r="X9" s="11"/>
      <c r="Y9" s="11"/>
      <c r="Z9" s="11"/>
      <c r="AA9" s="11"/>
    </row>
    <row r="10" spans="2:27" s="8" customFormat="1" ht="25.5">
      <c r="B10" s="2"/>
      <c r="C10" s="9" t="s">
        <v>1</v>
      </c>
      <c r="D10" s="10" t="s">
        <v>122</v>
      </c>
      <c r="E10" s="31">
        <f>E9/360</f>
        <v>6.111111111111111</v>
      </c>
      <c r="F10" s="31">
        <f>F9/360</f>
        <v>6.527777777777778</v>
      </c>
      <c r="G10" s="31">
        <f>G9/360</f>
        <v>6.805555555555555</v>
      </c>
      <c r="H10" s="31">
        <f>G10-E10</f>
        <v>0.6944444444444446</v>
      </c>
      <c r="I10" s="31">
        <f>G10-F10</f>
        <v>0.2777777777777777</v>
      </c>
      <c r="J10" s="33">
        <f>G10/E10</f>
        <v>1.1136363636363638</v>
      </c>
      <c r="K10" s="33">
        <f>G10/F10</f>
        <v>1.0425531914893618</v>
      </c>
      <c r="L10" s="33">
        <f>F10/E10</f>
        <v>1.0681818181818183</v>
      </c>
      <c r="M10" s="3"/>
      <c r="O10" s="56" t="s">
        <v>172</v>
      </c>
      <c r="V10" s="11"/>
      <c r="W10" s="11"/>
      <c r="X10" s="11"/>
      <c r="Y10" s="11"/>
      <c r="Z10" s="11"/>
      <c r="AA10" s="11"/>
    </row>
    <row r="11" spans="2:27" s="8" customFormat="1" ht="25.5">
      <c r="B11" s="2"/>
      <c r="C11" s="9" t="s">
        <v>2</v>
      </c>
      <c r="D11" s="10" t="s">
        <v>123</v>
      </c>
      <c r="E11" s="31">
        <f>E8/E9</f>
        <v>2.5</v>
      </c>
      <c r="F11" s="31">
        <f>F8/F9</f>
        <v>2.595744680851064</v>
      </c>
      <c r="G11" s="31">
        <f>G8/G9</f>
        <v>2.816326530612245</v>
      </c>
      <c r="H11" s="31">
        <f>G11-E11</f>
        <v>0.3163265306122449</v>
      </c>
      <c r="I11" s="31">
        <f>G11-F11</f>
        <v>0.22058184976118111</v>
      </c>
      <c r="J11" s="33">
        <f>G11/E11</f>
        <v>1.126530612244898</v>
      </c>
      <c r="K11" s="33">
        <f>G11/F11</f>
        <v>1.0849782535965207</v>
      </c>
      <c r="L11" s="33">
        <f>F11/E11</f>
        <v>1.0382978723404255</v>
      </c>
      <c r="M11" s="3"/>
      <c r="O11" s="56" t="s">
        <v>173</v>
      </c>
      <c r="V11" s="11"/>
      <c r="W11" s="11"/>
      <c r="X11" s="11"/>
      <c r="Y11" s="11"/>
      <c r="Z11" s="11"/>
      <c r="AA11" s="11"/>
    </row>
    <row r="12" spans="2:27" s="12" customFormat="1" ht="39" thickBot="1">
      <c r="B12" s="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4"/>
      <c r="O12" s="56" t="s">
        <v>174</v>
      </c>
      <c r="V12" s="11"/>
      <c r="W12" s="11"/>
      <c r="X12" s="11"/>
      <c r="Y12" s="11"/>
      <c r="Z12" s="11"/>
      <c r="AA12" s="11"/>
    </row>
    <row r="13" ht="25.5">
      <c r="O13" s="56" t="s">
        <v>175</v>
      </c>
    </row>
    <row r="14" ht="12.75">
      <c r="O14" s="56" t="s">
        <v>176</v>
      </c>
    </row>
    <row r="15" ht="38.25">
      <c r="O15" s="56" t="s">
        <v>177</v>
      </c>
    </row>
    <row r="16" ht="38.25">
      <c r="O16" s="56" t="s">
        <v>178</v>
      </c>
    </row>
    <row r="17" ht="12" customHeight="1">
      <c r="O17" s="57"/>
    </row>
    <row r="18" ht="12" customHeight="1">
      <c r="O18" s="57"/>
    </row>
    <row r="19" ht="12" customHeight="1">
      <c r="O19" s="57"/>
    </row>
    <row r="20" ht="12" customHeight="1">
      <c r="O20" s="57"/>
    </row>
    <row r="21" ht="12" customHeight="1">
      <c r="O21" s="58"/>
    </row>
    <row r="22" ht="12" customHeight="1">
      <c r="O22" s="58"/>
    </row>
    <row r="23" ht="12" customHeight="1">
      <c r="O23" s="58"/>
    </row>
    <row r="24" ht="12" customHeight="1">
      <c r="O24" s="58"/>
    </row>
  </sheetData>
  <sheetProtection/>
  <mergeCells count="7">
    <mergeCell ref="E6:G6"/>
    <mergeCell ref="J6:K6"/>
    <mergeCell ref="C3:L3"/>
    <mergeCell ref="C4:L4"/>
    <mergeCell ref="C6:C7"/>
    <mergeCell ref="D6:D7"/>
    <mergeCell ref="H6:I6"/>
  </mergeCells>
  <hyperlinks>
    <hyperlink ref="O6" location="'Динамика осн. пок-лей'!A1" display="Динамика основных показателей деятельности "/>
    <hyperlink ref="O7" location="'Динамика издержек'!A1" display="Информация о динамике издержек обращения "/>
    <hyperlink ref="O8" location="'А-з состава и стр-ры издержек'!A1" display="Анализ состава и структуры издержек обращения"/>
    <hyperlink ref="O9" location="'А-з издержек по эк. эл-там'!A1" display="Анализ издержек обращения по экономическим элементам"/>
    <hyperlink ref="O10" location="'Влияние динамики т-оборота'!A1" display="Алгоритм расчета влияния динамики товарооборота на сумму и уровень издержек обращения"/>
    <hyperlink ref="O11" location="'Влияние стр-ры т-оборота'!A1" display="Расчет влияния изменения структуры товарооборота на уровень издержек обращения"/>
    <hyperlink ref="O12" location="'Влияние товарных запасов'!A1" display="Влияние средних товарных запасов и товарооборачиваемости на сумму расходов на хранение, доработку, сортировку и упаковку товаров "/>
    <hyperlink ref="O13" location="'Обобщение влияния ф-ров'!A1" display="Обобщение данных анализа влияния факторов на общую сумму и уровень издержек обращения"/>
    <hyperlink ref="O14" location="'А-з пок-лей по труду и ЗП'!A1" display="Анализ показателей по труду и заработной плате"/>
    <hyperlink ref="O15" location="'Влияние пок-лей по труду и ЗП'!A1" display="Расчет влияния численности торговых работников и их средней заработной платы на расходы по оплату труда персонала"/>
    <hyperlink ref="O16" location="'Влияние выработки и СЗП'!A1" display="Расчет влияния выработки и средней заработной платы одного торгового работника на сумму расходов по оплате труда персонал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3" min="1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AM24"/>
  <sheetViews>
    <sheetView showGridLines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4" customWidth="1"/>
    <col min="4" max="4" width="44.75390625" style="14" customWidth="1"/>
    <col min="5" max="5" width="17.875" style="15" customWidth="1"/>
    <col min="6" max="6" width="15.75390625" style="15" customWidth="1"/>
    <col min="7" max="7" width="3.00390625" style="1" customWidth="1"/>
    <col min="8" max="8" width="2.75390625" style="1" customWidth="1"/>
    <col min="9" max="9" width="53.25390625" style="54" customWidth="1"/>
    <col min="10" max="10" width="2.75390625" style="1" customWidth="1"/>
    <col min="11" max="11" width="6.625" style="1" bestFit="1" customWidth="1"/>
    <col min="12" max="12" width="2.75390625" style="1" customWidth="1"/>
    <col min="13" max="13" width="6.625" style="1" bestFit="1" customWidth="1"/>
    <col min="14" max="15" width="2.75390625" style="1" customWidth="1"/>
    <col min="16" max="20" width="3.25390625" style="1" bestFit="1" customWidth="1"/>
    <col min="21" max="21" width="4.75390625" style="1" bestFit="1" customWidth="1"/>
    <col min="22" max="16384" width="2.75390625" style="1" customWidth="1"/>
  </cols>
  <sheetData>
    <row r="1" spans="2:14" ht="15" customHeight="1" thickBot="1">
      <c r="B1" s="5" t="s">
        <v>7</v>
      </c>
      <c r="C1" s="5"/>
      <c r="D1" s="5"/>
      <c r="E1" s="5"/>
      <c r="F1" s="5"/>
      <c r="G1" s="5"/>
      <c r="H1" s="5"/>
      <c r="I1" s="53"/>
      <c r="J1" s="5"/>
      <c r="K1" s="5"/>
      <c r="L1" s="5"/>
      <c r="M1" s="5"/>
      <c r="N1" s="5"/>
    </row>
    <row r="2" spans="2:39" ht="11.25" customHeight="1">
      <c r="B2" s="16"/>
      <c r="C2" s="17"/>
      <c r="D2" s="17"/>
      <c r="E2" s="17"/>
      <c r="F2" s="17"/>
      <c r="G2" s="1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39" ht="33" customHeight="1">
      <c r="B3" s="19"/>
      <c r="C3" s="59" t="s">
        <v>125</v>
      </c>
      <c r="D3" s="59"/>
      <c r="E3" s="59"/>
      <c r="F3" s="59"/>
      <c r="G3" s="20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2:39" ht="18" customHeight="1">
      <c r="B4" s="19"/>
      <c r="C4" s="76" t="str">
        <f>CONCATENATE('Динамика издержек'!C4," за ",'Динамика издержек'!G7," год")</f>
        <v>магазина № 555  за 2010 год</v>
      </c>
      <c r="D4" s="76"/>
      <c r="E4" s="76"/>
      <c r="F4" s="76"/>
      <c r="G4" s="20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2:39" ht="12.75" customHeight="1">
      <c r="B5" s="19"/>
      <c r="C5" s="7"/>
      <c r="D5" s="7"/>
      <c r="E5" s="7"/>
      <c r="F5" s="7"/>
      <c r="G5" s="20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2:39" ht="22.5">
      <c r="B6" s="21"/>
      <c r="C6" s="45" t="s">
        <v>0</v>
      </c>
      <c r="D6" s="45" t="s">
        <v>13</v>
      </c>
      <c r="E6" s="46" t="s">
        <v>126</v>
      </c>
      <c r="F6" s="46" t="s">
        <v>127</v>
      </c>
      <c r="G6" s="20"/>
      <c r="I6" s="55" t="s">
        <v>168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2:21" s="8" customFormat="1" ht="25.5">
      <c r="B7" s="2"/>
      <c r="C7" s="9" t="s">
        <v>8</v>
      </c>
      <c r="D7" s="10" t="s">
        <v>129</v>
      </c>
      <c r="E7" s="31">
        <f>'А-з состава и стр-ры издержек'!M24</f>
        <v>49.41000000000008</v>
      </c>
      <c r="F7" s="33">
        <f>'А-з состава и стр-ры издержек'!N24</f>
        <v>-0.0028141363744357134</v>
      </c>
      <c r="G7" s="3"/>
      <c r="I7" s="55" t="s">
        <v>169</v>
      </c>
      <c r="P7" s="11"/>
      <c r="Q7" s="11"/>
      <c r="R7" s="11"/>
      <c r="S7" s="11"/>
      <c r="T7" s="11"/>
      <c r="U7" s="11"/>
    </row>
    <row r="8" spans="2:21" s="8" customFormat="1" ht="12.75">
      <c r="B8" s="2"/>
      <c r="C8" s="9" t="s">
        <v>3</v>
      </c>
      <c r="D8" s="90" t="s">
        <v>130</v>
      </c>
      <c r="E8" s="91"/>
      <c r="F8" s="92"/>
      <c r="G8" s="3"/>
      <c r="I8" s="56" t="s">
        <v>170</v>
      </c>
      <c r="P8" s="11"/>
      <c r="Q8" s="11"/>
      <c r="R8" s="11"/>
      <c r="S8" s="11"/>
      <c r="T8" s="11"/>
      <c r="U8" s="11"/>
    </row>
    <row r="9" spans="2:21" s="8" customFormat="1" ht="25.5">
      <c r="B9" s="2"/>
      <c r="C9" s="9" t="s">
        <v>134</v>
      </c>
      <c r="D9" s="24" t="s">
        <v>131</v>
      </c>
      <c r="E9" s="32">
        <v>-20</v>
      </c>
      <c r="F9" s="44">
        <v>-0.004</v>
      </c>
      <c r="G9" s="3"/>
      <c r="I9" s="56" t="s">
        <v>171</v>
      </c>
      <c r="P9" s="11"/>
      <c r="Q9" s="11"/>
      <c r="R9" s="11"/>
      <c r="S9" s="11"/>
      <c r="T9" s="11"/>
      <c r="U9" s="11"/>
    </row>
    <row r="10" spans="2:21" s="8" customFormat="1" ht="25.5">
      <c r="B10" s="2"/>
      <c r="C10" s="9" t="s">
        <v>135</v>
      </c>
      <c r="D10" s="24" t="s">
        <v>132</v>
      </c>
      <c r="E10" s="32">
        <v>6</v>
      </c>
      <c r="F10" s="44">
        <v>0.0002</v>
      </c>
      <c r="G10" s="3"/>
      <c r="I10" s="56" t="s">
        <v>172</v>
      </c>
      <c r="P10" s="11"/>
      <c r="Q10" s="11"/>
      <c r="R10" s="11"/>
      <c r="S10" s="11"/>
      <c r="T10" s="11"/>
      <c r="U10" s="11"/>
    </row>
    <row r="11" spans="2:21" s="8" customFormat="1" ht="25.5">
      <c r="B11" s="2"/>
      <c r="C11" s="9" t="s">
        <v>136</v>
      </c>
      <c r="D11" s="24" t="s">
        <v>133</v>
      </c>
      <c r="E11" s="32">
        <v>-1</v>
      </c>
      <c r="F11" s="44">
        <v>0.0004</v>
      </c>
      <c r="G11" s="3"/>
      <c r="I11" s="56" t="s">
        <v>173</v>
      </c>
      <c r="P11" s="11"/>
      <c r="Q11" s="11"/>
      <c r="R11" s="11"/>
      <c r="S11" s="11"/>
      <c r="T11" s="11"/>
      <c r="U11" s="11"/>
    </row>
    <row r="12" spans="2:21" s="8" customFormat="1" ht="38.25">
      <c r="B12" s="2"/>
      <c r="C12" s="9" t="s">
        <v>1</v>
      </c>
      <c r="D12" s="10" t="s">
        <v>128</v>
      </c>
      <c r="E12" s="31">
        <f>SUM(E9:E11)</f>
        <v>-15</v>
      </c>
      <c r="F12" s="33">
        <f>SUM(F9:F11)</f>
        <v>-0.0034</v>
      </c>
      <c r="G12" s="3"/>
      <c r="I12" s="56" t="s">
        <v>174</v>
      </c>
      <c r="P12" s="11"/>
      <c r="Q12" s="11"/>
      <c r="R12" s="11"/>
      <c r="S12" s="11"/>
      <c r="T12" s="11"/>
      <c r="U12" s="11"/>
    </row>
    <row r="13" spans="2:21" s="8" customFormat="1" ht="25.5">
      <c r="B13" s="2"/>
      <c r="C13" s="9" t="s">
        <v>2</v>
      </c>
      <c r="D13" s="90" t="s">
        <v>137</v>
      </c>
      <c r="E13" s="91"/>
      <c r="F13" s="92"/>
      <c r="G13" s="3"/>
      <c r="I13" s="56" t="s">
        <v>175</v>
      </c>
      <c r="P13" s="11"/>
      <c r="Q13" s="11"/>
      <c r="R13" s="11"/>
      <c r="S13" s="11"/>
      <c r="T13" s="11"/>
      <c r="U13" s="11"/>
    </row>
    <row r="14" spans="2:21" s="8" customFormat="1" ht="12.75">
      <c r="B14" s="2"/>
      <c r="C14" s="9" t="s">
        <v>37</v>
      </c>
      <c r="D14" s="24" t="s">
        <v>138</v>
      </c>
      <c r="E14" s="31">
        <f>'Влияние динамики т-оборота'!I23</f>
        <v>46.20327868852462</v>
      </c>
      <c r="F14" s="33">
        <f>'Влияние динамики т-оборота'!J23</f>
        <v>-0.003278878593490131</v>
      </c>
      <c r="G14" s="3"/>
      <c r="I14" s="56" t="s">
        <v>176</v>
      </c>
      <c r="P14" s="11"/>
      <c r="Q14" s="11"/>
      <c r="R14" s="11"/>
      <c r="S14" s="11"/>
      <c r="T14" s="11"/>
      <c r="U14" s="11"/>
    </row>
    <row r="15" spans="2:21" s="8" customFormat="1" ht="38.25">
      <c r="B15" s="2"/>
      <c r="C15" s="9" t="s">
        <v>38</v>
      </c>
      <c r="D15" s="24" t="s">
        <v>139</v>
      </c>
      <c r="E15" s="32">
        <v>-5</v>
      </c>
      <c r="F15" s="44">
        <v>-0.0005</v>
      </c>
      <c r="G15" s="3"/>
      <c r="I15" s="56" t="s">
        <v>177</v>
      </c>
      <c r="P15" s="11"/>
      <c r="Q15" s="11"/>
      <c r="R15" s="11"/>
      <c r="S15" s="11"/>
      <c r="T15" s="11"/>
      <c r="U15" s="11"/>
    </row>
    <row r="16" spans="2:21" s="8" customFormat="1" ht="38.25">
      <c r="B16" s="2"/>
      <c r="C16" s="9" t="s">
        <v>144</v>
      </c>
      <c r="D16" s="24" t="s">
        <v>140</v>
      </c>
      <c r="E16" s="32">
        <v>-7</v>
      </c>
      <c r="F16" s="44">
        <v>-0.0012</v>
      </c>
      <c r="G16" s="3"/>
      <c r="I16" s="56" t="s">
        <v>178</v>
      </c>
      <c r="P16" s="11"/>
      <c r="Q16" s="11"/>
      <c r="R16" s="11"/>
      <c r="S16" s="11"/>
      <c r="T16" s="11"/>
      <c r="U16" s="11"/>
    </row>
    <row r="17" spans="2:21" s="8" customFormat="1" ht="27.75" customHeight="1">
      <c r="B17" s="2"/>
      <c r="C17" s="9" t="s">
        <v>145</v>
      </c>
      <c r="D17" s="24" t="s">
        <v>141</v>
      </c>
      <c r="E17" s="32">
        <v>-12</v>
      </c>
      <c r="F17" s="44">
        <v>-0.0032</v>
      </c>
      <c r="G17" s="3"/>
      <c r="I17" s="57"/>
      <c r="P17" s="11"/>
      <c r="Q17" s="11"/>
      <c r="R17" s="11"/>
      <c r="S17" s="11"/>
      <c r="T17" s="11"/>
      <c r="U17" s="11"/>
    </row>
    <row r="18" spans="2:21" s="8" customFormat="1" ht="27.75" customHeight="1">
      <c r="B18" s="2"/>
      <c r="C18" s="9" t="s">
        <v>146</v>
      </c>
      <c r="D18" s="24" t="s">
        <v>142</v>
      </c>
      <c r="E18" s="32">
        <v>-4</v>
      </c>
      <c r="F18" s="44">
        <v>-0.0014</v>
      </c>
      <c r="G18" s="3"/>
      <c r="I18" s="57"/>
      <c r="P18" s="11"/>
      <c r="Q18" s="11"/>
      <c r="R18" s="11"/>
      <c r="S18" s="11"/>
      <c r="T18" s="11"/>
      <c r="U18" s="11"/>
    </row>
    <row r="19" spans="2:21" s="8" customFormat="1" ht="27.75" customHeight="1">
      <c r="B19" s="2"/>
      <c r="C19" s="9" t="s">
        <v>147</v>
      </c>
      <c r="D19" s="24" t="s">
        <v>143</v>
      </c>
      <c r="E19" s="32">
        <v>46.21</v>
      </c>
      <c r="F19" s="44">
        <v>0.008</v>
      </c>
      <c r="G19" s="3"/>
      <c r="I19" s="57"/>
      <c r="P19" s="11"/>
      <c r="Q19" s="11"/>
      <c r="R19" s="11"/>
      <c r="S19" s="11"/>
      <c r="T19" s="11"/>
      <c r="U19" s="11"/>
    </row>
    <row r="20" spans="2:21" s="8" customFormat="1" ht="27.75" customHeight="1">
      <c r="B20" s="2"/>
      <c r="C20" s="9" t="s">
        <v>4</v>
      </c>
      <c r="D20" s="10" t="s">
        <v>148</v>
      </c>
      <c r="E20" s="31">
        <f>SUM(E14:E19)</f>
        <v>64.41327868852463</v>
      </c>
      <c r="F20" s="33">
        <f>SUM(F14:F19)</f>
        <v>-0.0015788785934901309</v>
      </c>
      <c r="G20" s="3"/>
      <c r="I20" s="57"/>
      <c r="P20" s="11"/>
      <c r="Q20" s="11"/>
      <c r="R20" s="11"/>
      <c r="S20" s="11"/>
      <c r="T20" s="11"/>
      <c r="U20" s="11"/>
    </row>
    <row r="21" spans="2:21" s="12" customFormat="1" ht="11.25" thickBot="1">
      <c r="B21" s="4"/>
      <c r="C21" s="35"/>
      <c r="D21" s="35"/>
      <c r="E21" s="35"/>
      <c r="F21" s="35"/>
      <c r="G21" s="34"/>
      <c r="I21" s="58"/>
      <c r="P21" s="11"/>
      <c r="Q21" s="11"/>
      <c r="R21" s="11"/>
      <c r="S21" s="11"/>
      <c r="T21" s="11"/>
      <c r="U21" s="11"/>
    </row>
    <row r="22" spans="5:9" ht="12" customHeight="1">
      <c r="E22" s="50">
        <f>ROUND(E7-E12-E20,2)</f>
        <v>0</v>
      </c>
      <c r="F22" s="50">
        <f>ROUND(F7-F12-F20,2)</f>
        <v>0</v>
      </c>
      <c r="I22" s="58"/>
    </row>
    <row r="23" spans="5:9" ht="12" customHeight="1">
      <c r="E23" s="50"/>
      <c r="F23" s="50"/>
      <c r="I23" s="58"/>
    </row>
    <row r="24" spans="4:13" ht="12" customHeight="1">
      <c r="D24" s="93" t="str">
        <f>IF(E22=0,"Данные введены верно","Проверьте правильность ввода данных")</f>
        <v>Данные введены верно</v>
      </c>
      <c r="E24" s="93"/>
      <c r="F24" s="89" t="str">
        <f>IF(F22=0,"Данные введены верно","Проверьте правильность ввода данных")</f>
        <v>Данные введены верно</v>
      </c>
      <c r="G24" s="89"/>
      <c r="H24" s="89"/>
      <c r="I24" s="89"/>
      <c r="J24" s="89"/>
      <c r="K24" s="89"/>
      <c r="L24" s="89"/>
      <c r="M24" s="89"/>
    </row>
  </sheetData>
  <sheetProtection/>
  <mergeCells count="6">
    <mergeCell ref="C3:F3"/>
    <mergeCell ref="C4:F4"/>
    <mergeCell ref="F24:M24"/>
    <mergeCell ref="D8:F8"/>
    <mergeCell ref="D13:F13"/>
    <mergeCell ref="D24:E24"/>
  </mergeCells>
  <hyperlinks>
    <hyperlink ref="I6" location="'Динамика осн. пок-лей'!A1" display="Динамика основных показателей деятельности "/>
    <hyperlink ref="I7" location="'Динамика издержек'!A1" display="Информация о динамике издержек обращения "/>
    <hyperlink ref="I8" location="'А-з состава и стр-ры издержек'!A1" display="Анализ состава и структуры издержек обращения"/>
    <hyperlink ref="I9" location="'А-з издержек по эк. эл-там'!A1" display="Анализ издержек обращения по экономическим элементам"/>
    <hyperlink ref="I10" location="'Влияние динамики т-оборота'!A1" display="Алгоритм расчета влияния динамики товарооборота на сумму и уровень издержек обращения"/>
    <hyperlink ref="I11" location="'Влияние стр-ры т-оборота'!A1" display="Расчет влияния изменения структуры товарооборота на уровень издержек обращения"/>
    <hyperlink ref="I12" location="'Влияние товарных запасов'!A1" display="Влияние средних товарных запасов и товарооборачиваемости на сумму расходов на хранение, доработку, сортировку и упаковку товаров "/>
    <hyperlink ref="I13" location="'Обобщение влияния ф-ров'!A1" display="Обобщение данных анализа влияния факторов на общую сумму и уровень издержек обращения"/>
    <hyperlink ref="I14" location="'А-з пок-лей по труду и ЗП'!A1" display="Анализ показателей по труду и заработной плате"/>
    <hyperlink ref="I15" location="'Влияние пок-лей по труду и ЗП'!A1" display="Расчет влияния численности торговых работников и их средней заработной платы на расходы по оплату труда персонала"/>
    <hyperlink ref="I16" location="'Влияние выработки и СЗП'!A1" display="Расчет влияния выработки и средней заработной платы одного торгового работника на сумму расходов по оплате труда персонал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8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7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AS24"/>
  <sheetViews>
    <sheetView showGridLines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4" customWidth="1"/>
    <col min="4" max="4" width="41.00390625" style="14" customWidth="1"/>
    <col min="5" max="5" width="10.75390625" style="15" customWidth="1"/>
    <col min="6" max="6" width="10.125" style="15" customWidth="1"/>
    <col min="7" max="7" width="9.25390625" style="15" customWidth="1"/>
    <col min="8" max="8" width="12.25390625" style="15" bestFit="1" customWidth="1"/>
    <col min="9" max="9" width="10.25390625" style="15" bestFit="1" customWidth="1"/>
    <col min="10" max="10" width="8.25390625" style="15" bestFit="1" customWidth="1"/>
    <col min="11" max="11" width="10.25390625" style="15" customWidth="1"/>
    <col min="12" max="12" width="14.25390625" style="15" customWidth="1"/>
    <col min="13" max="13" width="3.00390625" style="1" customWidth="1"/>
    <col min="14" max="14" width="2.75390625" style="1" customWidth="1"/>
    <col min="15" max="15" width="53.25390625" style="54" customWidth="1"/>
    <col min="16" max="16" width="2.75390625" style="1" customWidth="1"/>
    <col min="17" max="17" width="6.625" style="1" bestFit="1" customWidth="1"/>
    <col min="18" max="18" width="2.75390625" style="1" customWidth="1"/>
    <col min="19" max="19" width="6.625" style="1" bestFit="1" customWidth="1"/>
    <col min="20" max="21" width="2.75390625" style="1" customWidth="1"/>
    <col min="22" max="26" width="3.25390625" style="1" bestFit="1" customWidth="1"/>
    <col min="27" max="27" width="4.75390625" style="1" bestFit="1" customWidth="1"/>
    <col min="28" max="16384" width="2.75390625" style="1" customWidth="1"/>
  </cols>
  <sheetData>
    <row r="1" spans="2:20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3"/>
      <c r="P1" s="5"/>
      <c r="Q1" s="5"/>
      <c r="R1" s="5"/>
      <c r="S1" s="5"/>
      <c r="T1" s="5"/>
    </row>
    <row r="2" spans="2:45" ht="11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2:45" ht="18">
      <c r="B3" s="19"/>
      <c r="C3" s="59" t="s">
        <v>149</v>
      </c>
      <c r="D3" s="59"/>
      <c r="E3" s="59"/>
      <c r="F3" s="59"/>
      <c r="G3" s="59"/>
      <c r="H3" s="59"/>
      <c r="I3" s="59"/>
      <c r="J3" s="59"/>
      <c r="K3" s="59"/>
      <c r="L3" s="59"/>
      <c r="M3" s="20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2:45" ht="18">
      <c r="B4" s="19"/>
      <c r="C4" s="76" t="str">
        <f>CONCATENATE('Динамика издержек'!C4,'Динамика издержек'!G4)</f>
        <v>магазина № 555 за 2008-2010 годы</v>
      </c>
      <c r="D4" s="76"/>
      <c r="E4" s="76"/>
      <c r="F4" s="76"/>
      <c r="G4" s="76"/>
      <c r="H4" s="76"/>
      <c r="I4" s="76"/>
      <c r="J4" s="76"/>
      <c r="K4" s="76"/>
      <c r="L4" s="76"/>
      <c r="M4" s="20"/>
      <c r="O4" s="55" t="s">
        <v>168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2:45" ht="18">
      <c r="B5" s="19"/>
      <c r="C5" s="7"/>
      <c r="D5" s="7"/>
      <c r="E5" s="7"/>
      <c r="F5" s="7"/>
      <c r="G5" s="7"/>
      <c r="H5" s="7"/>
      <c r="I5" s="7"/>
      <c r="J5" s="7"/>
      <c r="K5" s="7"/>
      <c r="L5" s="7"/>
      <c r="M5" s="20"/>
      <c r="O5" s="55" t="s">
        <v>169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2:45" ht="21">
      <c r="B6" s="21"/>
      <c r="C6" s="69" t="s">
        <v>0</v>
      </c>
      <c r="D6" s="69" t="s">
        <v>13</v>
      </c>
      <c r="E6" s="77" t="s">
        <v>15</v>
      </c>
      <c r="F6" s="77"/>
      <c r="G6" s="77"/>
      <c r="H6" s="78" t="str">
        <f>CONCATENATE("Отклонение ",'Динамика издержек'!G7," года от")</f>
        <v>Отклонение 2010 года от</v>
      </c>
      <c r="I6" s="80"/>
      <c r="J6" s="77" t="str">
        <f>CONCATENATE("Отношение ",'Динамика издержек'!G7," г., %")</f>
        <v>Отношение 2010 г., %</v>
      </c>
      <c r="K6" s="77"/>
      <c r="L6" s="46" t="str">
        <f>CONCATENATE("Отношение ",F7," к ",E7," году")</f>
        <v>Отношение 2009 к 2008 году</v>
      </c>
      <c r="M6" s="20"/>
      <c r="O6" s="56" t="s">
        <v>170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2:45" ht="25.5">
      <c r="B7" s="21"/>
      <c r="C7" s="69"/>
      <c r="D7" s="69"/>
      <c r="E7" s="27">
        <f>'Динамика осн. пок-лей'!F7</f>
        <v>2008</v>
      </c>
      <c r="F7" s="27">
        <f>'Динамика осн. пок-лей'!G7</f>
        <v>2009</v>
      </c>
      <c r="G7" s="27">
        <f>'Динамика осн. пок-лей'!H7</f>
        <v>2010</v>
      </c>
      <c r="H7" s="27">
        <f>E7</f>
        <v>2008</v>
      </c>
      <c r="I7" s="27">
        <f>F7</f>
        <v>2009</v>
      </c>
      <c r="J7" s="27">
        <f>H7</f>
        <v>2008</v>
      </c>
      <c r="K7" s="27">
        <f>I7</f>
        <v>2009</v>
      </c>
      <c r="L7" s="49"/>
      <c r="M7" s="20"/>
      <c r="O7" s="56" t="s">
        <v>171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2:27" s="8" customFormat="1" ht="25.5">
      <c r="B8" s="2"/>
      <c r="C8" s="9" t="s">
        <v>8</v>
      </c>
      <c r="D8" s="10" t="s">
        <v>152</v>
      </c>
      <c r="E8" s="31"/>
      <c r="F8" s="31"/>
      <c r="G8" s="31"/>
      <c r="H8" s="31"/>
      <c r="I8" s="31"/>
      <c r="J8" s="33"/>
      <c r="K8" s="33"/>
      <c r="L8" s="33"/>
      <c r="M8" s="3"/>
      <c r="O8" s="56" t="s">
        <v>172</v>
      </c>
      <c r="V8" s="11"/>
      <c r="W8" s="11"/>
      <c r="X8" s="11"/>
      <c r="Y8" s="11"/>
      <c r="Z8" s="11"/>
      <c r="AA8" s="11"/>
    </row>
    <row r="9" spans="2:27" s="8" customFormat="1" ht="25.5">
      <c r="B9" s="2"/>
      <c r="C9" s="9" t="s">
        <v>9</v>
      </c>
      <c r="D9" s="24" t="s">
        <v>16</v>
      </c>
      <c r="E9" s="31">
        <f>'Динамика осн. пок-лей'!F9</f>
        <v>5500</v>
      </c>
      <c r="F9" s="31">
        <f>'Динамика осн. пок-лей'!G9</f>
        <v>6100</v>
      </c>
      <c r="G9" s="31">
        <f>'Динамика осн. пок-лей'!H9</f>
        <v>6900</v>
      </c>
      <c r="H9" s="31">
        <f>G9-E9</f>
        <v>1400</v>
      </c>
      <c r="I9" s="31">
        <f>G9-F9</f>
        <v>800</v>
      </c>
      <c r="J9" s="33">
        <f>G9/E9</f>
        <v>1.2545454545454546</v>
      </c>
      <c r="K9" s="33">
        <f>G9/F9</f>
        <v>1.1311475409836065</v>
      </c>
      <c r="L9" s="33">
        <f>F9/E9</f>
        <v>1.1090909090909091</v>
      </c>
      <c r="M9" s="3"/>
      <c r="O9" s="56" t="s">
        <v>173</v>
      </c>
      <c r="V9" s="11"/>
      <c r="W9" s="11"/>
      <c r="X9" s="11"/>
      <c r="Y9" s="11"/>
      <c r="Z9" s="11"/>
      <c r="AA9" s="11"/>
    </row>
    <row r="10" spans="2:27" s="8" customFormat="1" ht="38.25">
      <c r="B10" s="2"/>
      <c r="C10" s="9" t="s">
        <v>10</v>
      </c>
      <c r="D10" s="24" t="s">
        <v>23</v>
      </c>
      <c r="E10" s="31">
        <f>'Динамика осн. пок-лей'!F10</f>
        <v>5400</v>
      </c>
      <c r="F10" s="31">
        <f>'Динамика осн. пок-лей'!G10</f>
        <v>5970</v>
      </c>
      <c r="G10" s="31">
        <f>'Динамика осн. пок-лей'!H10</f>
        <v>6680</v>
      </c>
      <c r="H10" s="31">
        <f>G10-E10</f>
        <v>1280</v>
      </c>
      <c r="I10" s="31">
        <f>G10-F10</f>
        <v>710</v>
      </c>
      <c r="J10" s="33">
        <f>G10/E10</f>
        <v>1.237037037037037</v>
      </c>
      <c r="K10" s="33">
        <f>G10/F10</f>
        <v>1.11892797319933</v>
      </c>
      <c r="L10" s="33">
        <f>F10/E10</f>
        <v>1.1055555555555556</v>
      </c>
      <c r="M10" s="3"/>
      <c r="O10" s="56" t="s">
        <v>174</v>
      </c>
      <c r="V10" s="11"/>
      <c r="W10" s="11"/>
      <c r="X10" s="11"/>
      <c r="Y10" s="11"/>
      <c r="Z10" s="11"/>
      <c r="AA10" s="11"/>
    </row>
    <row r="11" spans="2:27" s="8" customFormat="1" ht="25.5">
      <c r="B11" s="2"/>
      <c r="C11" s="9" t="s">
        <v>3</v>
      </c>
      <c r="D11" s="10" t="s">
        <v>153</v>
      </c>
      <c r="E11" s="31">
        <f>'Динамика осн. пок-лей'!F15</f>
        <v>105</v>
      </c>
      <c r="F11" s="31">
        <f>'Динамика осн. пок-лей'!G15</f>
        <v>107</v>
      </c>
      <c r="G11" s="31">
        <f>'Динамика осн. пок-лей'!H15</f>
        <v>113</v>
      </c>
      <c r="H11" s="31">
        <f aca="true" t="shared" si="0" ref="H11:H18">G11-E11</f>
        <v>8</v>
      </c>
      <c r="I11" s="31">
        <f aca="true" t="shared" si="1" ref="I11:I18">G11-F11</f>
        <v>6</v>
      </c>
      <c r="J11" s="33">
        <f aca="true" t="shared" si="2" ref="J11:J18">G11/E11</f>
        <v>1.0761904761904761</v>
      </c>
      <c r="K11" s="33">
        <f aca="true" t="shared" si="3" ref="K11:K18">G11/F11</f>
        <v>1.0560747663551402</v>
      </c>
      <c r="L11" s="33">
        <f aca="true" t="shared" si="4" ref="L11:L18">F11/E11</f>
        <v>1.019047619047619</v>
      </c>
      <c r="M11" s="3"/>
      <c r="O11" s="56" t="s">
        <v>175</v>
      </c>
      <c r="V11" s="11"/>
      <c r="W11" s="11"/>
      <c r="X11" s="11"/>
      <c r="Y11" s="11"/>
      <c r="Z11" s="11"/>
      <c r="AA11" s="11"/>
    </row>
    <row r="12" spans="2:27" s="8" customFormat="1" ht="12.75">
      <c r="B12" s="2"/>
      <c r="C12" s="9" t="s">
        <v>1</v>
      </c>
      <c r="D12" s="10" t="s">
        <v>154</v>
      </c>
      <c r="E12" s="31"/>
      <c r="F12" s="31"/>
      <c r="G12" s="31"/>
      <c r="H12" s="31"/>
      <c r="I12" s="31"/>
      <c r="J12" s="33"/>
      <c r="K12" s="33"/>
      <c r="L12" s="33"/>
      <c r="M12" s="3"/>
      <c r="O12" s="56" t="s">
        <v>176</v>
      </c>
      <c r="V12" s="11"/>
      <c r="W12" s="11"/>
      <c r="X12" s="11"/>
      <c r="Y12" s="11"/>
      <c r="Z12" s="11"/>
      <c r="AA12" s="11"/>
    </row>
    <row r="13" spans="2:27" s="8" customFormat="1" ht="38.25">
      <c r="B13" s="2"/>
      <c r="C13" s="9" t="s">
        <v>150</v>
      </c>
      <c r="D13" s="24" t="s">
        <v>16</v>
      </c>
      <c r="E13" s="31">
        <f>'Динамика осн. пок-лей'!F17</f>
        <v>52.38095238095238</v>
      </c>
      <c r="F13" s="31">
        <f>'Динамика осн. пок-лей'!G17</f>
        <v>57.00934579439252</v>
      </c>
      <c r="G13" s="31">
        <f>'Динамика осн. пок-лей'!H17</f>
        <v>61.06194690265487</v>
      </c>
      <c r="H13" s="31">
        <f t="shared" si="0"/>
        <v>8.680994521702488</v>
      </c>
      <c r="I13" s="31">
        <f t="shared" si="1"/>
        <v>4.052601108262344</v>
      </c>
      <c r="J13" s="33">
        <f t="shared" si="2"/>
        <v>1.165728077232502</v>
      </c>
      <c r="K13" s="33">
        <f t="shared" si="3"/>
        <v>1.071086609603946</v>
      </c>
      <c r="L13" s="33">
        <f t="shared" si="4"/>
        <v>1.0883602378929482</v>
      </c>
      <c r="M13" s="3"/>
      <c r="O13" s="56" t="s">
        <v>177</v>
      </c>
      <c r="V13" s="11"/>
      <c r="W13" s="11"/>
      <c r="X13" s="11"/>
      <c r="Y13" s="11"/>
      <c r="Z13" s="11"/>
      <c r="AA13" s="11"/>
    </row>
    <row r="14" spans="2:27" s="8" customFormat="1" ht="38.25">
      <c r="B14" s="2"/>
      <c r="C14" s="9" t="s">
        <v>151</v>
      </c>
      <c r="D14" s="24" t="s">
        <v>23</v>
      </c>
      <c r="E14" s="31">
        <f>'Динамика осн. пок-лей'!F18</f>
        <v>51.42857142857143</v>
      </c>
      <c r="F14" s="31">
        <f>'Динамика осн. пок-лей'!G18</f>
        <v>55.794392523364486</v>
      </c>
      <c r="G14" s="31">
        <f>'Динамика осн. пок-лей'!H18</f>
        <v>59.11504424778761</v>
      </c>
      <c r="H14" s="31">
        <f t="shared" si="0"/>
        <v>7.686472819216178</v>
      </c>
      <c r="I14" s="31">
        <f t="shared" si="1"/>
        <v>3.320651724423122</v>
      </c>
      <c r="J14" s="33">
        <f t="shared" si="2"/>
        <v>1.1494591937069811</v>
      </c>
      <c r="K14" s="33">
        <f t="shared" si="3"/>
        <v>1.0595158684276842</v>
      </c>
      <c r="L14" s="33">
        <f t="shared" si="4"/>
        <v>1.084890965732087</v>
      </c>
      <c r="M14" s="3"/>
      <c r="O14" s="56" t="s">
        <v>178</v>
      </c>
      <c r="V14" s="11"/>
      <c r="W14" s="11"/>
      <c r="X14" s="11"/>
      <c r="Y14" s="11"/>
      <c r="Z14" s="11"/>
      <c r="AA14" s="11"/>
    </row>
    <row r="15" spans="2:27" s="8" customFormat="1" ht="27.75" customHeight="1">
      <c r="B15" s="2"/>
      <c r="C15" s="9" t="s">
        <v>2</v>
      </c>
      <c r="D15" s="10" t="s">
        <v>155</v>
      </c>
      <c r="E15" s="31"/>
      <c r="F15" s="31"/>
      <c r="G15" s="31"/>
      <c r="H15" s="31"/>
      <c r="I15" s="31"/>
      <c r="J15" s="33"/>
      <c r="K15" s="33"/>
      <c r="L15" s="33"/>
      <c r="M15" s="3"/>
      <c r="O15" s="56"/>
      <c r="V15" s="11"/>
      <c r="W15" s="11"/>
      <c r="X15" s="11"/>
      <c r="Y15" s="11"/>
      <c r="Z15" s="11"/>
      <c r="AA15" s="11"/>
    </row>
    <row r="16" spans="2:27" s="8" customFormat="1" ht="27.75" customHeight="1">
      <c r="B16" s="2"/>
      <c r="C16" s="9" t="s">
        <v>37</v>
      </c>
      <c r="D16" s="24" t="s">
        <v>44</v>
      </c>
      <c r="E16" s="31">
        <f>'А-з состава и стр-ры издержек'!E10</f>
        <v>180</v>
      </c>
      <c r="F16" s="31">
        <f>'А-з состава и стр-ры издержек'!G10</f>
        <v>190</v>
      </c>
      <c r="G16" s="31">
        <f>'А-з состава и стр-ры издержек'!I10</f>
        <v>220</v>
      </c>
      <c r="H16" s="31">
        <f t="shared" si="0"/>
        <v>40</v>
      </c>
      <c r="I16" s="31">
        <f t="shared" si="1"/>
        <v>30</v>
      </c>
      <c r="J16" s="33">
        <f t="shared" si="2"/>
        <v>1.2222222222222223</v>
      </c>
      <c r="K16" s="33">
        <f t="shared" si="3"/>
        <v>1.1578947368421053</v>
      </c>
      <c r="L16" s="33">
        <f t="shared" si="4"/>
        <v>1.0555555555555556</v>
      </c>
      <c r="M16" s="3"/>
      <c r="O16" s="56"/>
      <c r="V16" s="11"/>
      <c r="W16" s="11"/>
      <c r="X16" s="11"/>
      <c r="Y16" s="11"/>
      <c r="Z16" s="11"/>
      <c r="AA16" s="11"/>
    </row>
    <row r="17" spans="2:27" s="8" customFormat="1" ht="27.75" customHeight="1">
      <c r="B17" s="2"/>
      <c r="C17" s="9" t="s">
        <v>38</v>
      </c>
      <c r="D17" s="24" t="s">
        <v>156</v>
      </c>
      <c r="E17" s="33">
        <f>'А-з состава и стр-ры издержек'!F10</f>
        <v>0.03272727272727273</v>
      </c>
      <c r="F17" s="33">
        <f>'А-з состава и стр-ры издержек'!H10</f>
        <v>0.03114754098360656</v>
      </c>
      <c r="G17" s="33">
        <f>'А-з состава и стр-ры издержек'!J10</f>
        <v>0.03188405797101449</v>
      </c>
      <c r="H17" s="33">
        <f t="shared" si="0"/>
        <v>-0.0008432147562582384</v>
      </c>
      <c r="I17" s="33">
        <f t="shared" si="1"/>
        <v>0.0007365169874079328</v>
      </c>
      <c r="J17" s="33">
        <f t="shared" si="2"/>
        <v>0.9742351046698872</v>
      </c>
      <c r="K17" s="33">
        <f t="shared" si="3"/>
        <v>1.0236460717009914</v>
      </c>
      <c r="L17" s="33">
        <f t="shared" si="4"/>
        <v>0.9517304189435336</v>
      </c>
      <c r="M17" s="3"/>
      <c r="O17" s="57"/>
      <c r="V17" s="11"/>
      <c r="W17" s="11"/>
      <c r="X17" s="11"/>
      <c r="Y17" s="11"/>
      <c r="Z17" s="11"/>
      <c r="AA17" s="11"/>
    </row>
    <row r="18" spans="2:27" s="8" customFormat="1" ht="27.75" customHeight="1">
      <c r="B18" s="2"/>
      <c r="C18" s="9" t="s">
        <v>4</v>
      </c>
      <c r="D18" s="10" t="s">
        <v>157</v>
      </c>
      <c r="E18" s="31">
        <f>E16/E11</f>
        <v>1.7142857142857142</v>
      </c>
      <c r="F18" s="31">
        <f>F16/F11</f>
        <v>1.7757009345794392</v>
      </c>
      <c r="G18" s="31">
        <f>G16/G11</f>
        <v>1.9469026548672566</v>
      </c>
      <c r="H18" s="31">
        <f t="shared" si="0"/>
        <v>0.23261694058154236</v>
      </c>
      <c r="I18" s="31">
        <f t="shared" si="1"/>
        <v>0.17120172028781733</v>
      </c>
      <c r="J18" s="33">
        <f t="shared" si="2"/>
        <v>1.135693215339233</v>
      </c>
      <c r="K18" s="33">
        <f t="shared" si="3"/>
        <v>1.0964136003726128</v>
      </c>
      <c r="L18" s="33">
        <f t="shared" si="4"/>
        <v>1.0358255451713396</v>
      </c>
      <c r="M18" s="3"/>
      <c r="O18" s="57"/>
      <c r="V18" s="11"/>
      <c r="W18" s="11"/>
      <c r="X18" s="11"/>
      <c r="Y18" s="11"/>
      <c r="Z18" s="11"/>
      <c r="AA18" s="11"/>
    </row>
    <row r="19" spans="2:27" s="8" customFormat="1" ht="12.75">
      <c r="B19" s="2"/>
      <c r="C19" s="36"/>
      <c r="D19" s="40"/>
      <c r="E19" s="38"/>
      <c r="F19" s="38"/>
      <c r="G19" s="38"/>
      <c r="H19" s="38"/>
      <c r="I19" s="38"/>
      <c r="J19" s="51"/>
      <c r="K19" s="51"/>
      <c r="L19" s="51"/>
      <c r="M19" s="3"/>
      <c r="O19" s="57"/>
      <c r="V19" s="11"/>
      <c r="W19" s="11"/>
      <c r="X19" s="11"/>
      <c r="Y19" s="11"/>
      <c r="Z19" s="11"/>
      <c r="AA19" s="11"/>
    </row>
    <row r="20" spans="2:27" s="8" customFormat="1" ht="12.75" customHeight="1">
      <c r="B20" s="2"/>
      <c r="C20" s="94" t="str">
        <f>CONCATENATE("Сумма относительного перерасхода средств на оплату труда по сравнению с ",E7," годом")</f>
        <v>Сумма относительного перерасхода средств на оплату труда по сравнению с 2008 годом</v>
      </c>
      <c r="D20" s="94"/>
      <c r="E20" s="94"/>
      <c r="F20" s="94"/>
      <c r="G20" s="94"/>
      <c r="H20" s="31">
        <f>H17*G9</f>
        <v>-5.818181818181845</v>
      </c>
      <c r="I20" s="52" t="s">
        <v>158</v>
      </c>
      <c r="J20" s="51"/>
      <c r="K20" s="51"/>
      <c r="L20" s="51"/>
      <c r="M20" s="3"/>
      <c r="O20" s="57"/>
      <c r="V20" s="11"/>
      <c r="W20" s="11"/>
      <c r="X20" s="11"/>
      <c r="Y20" s="11"/>
      <c r="Z20" s="11"/>
      <c r="AA20" s="11"/>
    </row>
    <row r="21" spans="2:27" s="8" customFormat="1" ht="12.75" customHeight="1">
      <c r="B21" s="2"/>
      <c r="C21" s="94" t="str">
        <f>CONCATENATE("Сумма относительного перерасхода средств на оплату труда по сравнению с ",F7," годом")</f>
        <v>Сумма относительного перерасхода средств на оплату труда по сравнению с 2009 годом</v>
      </c>
      <c r="D21" s="94"/>
      <c r="E21" s="94"/>
      <c r="F21" s="94"/>
      <c r="G21" s="94"/>
      <c r="H21" s="31">
        <f>G9*I17</f>
        <v>5.081967213114736</v>
      </c>
      <c r="I21" s="52" t="s">
        <v>158</v>
      </c>
      <c r="J21" s="51"/>
      <c r="K21" s="51"/>
      <c r="L21" s="51"/>
      <c r="M21" s="3"/>
      <c r="O21" s="58"/>
      <c r="V21" s="11"/>
      <c r="W21" s="11"/>
      <c r="X21" s="11"/>
      <c r="Y21" s="11"/>
      <c r="Z21" s="11"/>
      <c r="AA21" s="11"/>
    </row>
    <row r="22" spans="2:27" s="8" customFormat="1" ht="12.75">
      <c r="B22" s="2"/>
      <c r="C22" s="36"/>
      <c r="D22" s="40"/>
      <c r="E22" s="38"/>
      <c r="F22" s="38"/>
      <c r="G22" s="38"/>
      <c r="H22" s="38"/>
      <c r="I22" s="38"/>
      <c r="J22" s="51"/>
      <c r="K22" s="51"/>
      <c r="L22" s="51"/>
      <c r="M22" s="3"/>
      <c r="O22" s="58"/>
      <c r="V22" s="11"/>
      <c r="W22" s="11"/>
      <c r="X22" s="11"/>
      <c r="Y22" s="11"/>
      <c r="Z22" s="11"/>
      <c r="AA22" s="11"/>
    </row>
    <row r="23" spans="2:27" s="12" customFormat="1" ht="11.25" thickBot="1">
      <c r="B23" s="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4"/>
      <c r="O23" s="58"/>
      <c r="V23" s="11"/>
      <c r="W23" s="11"/>
      <c r="X23" s="11"/>
      <c r="Y23" s="11"/>
      <c r="Z23" s="11"/>
      <c r="AA23" s="11"/>
    </row>
    <row r="24" ht="12" customHeight="1">
      <c r="O24" s="58"/>
    </row>
  </sheetData>
  <sheetProtection/>
  <mergeCells count="9">
    <mergeCell ref="C20:G20"/>
    <mergeCell ref="C21:G21"/>
    <mergeCell ref="C3:L3"/>
    <mergeCell ref="C4:L4"/>
    <mergeCell ref="C6:C7"/>
    <mergeCell ref="D6:D7"/>
    <mergeCell ref="E6:G6"/>
    <mergeCell ref="H6:I6"/>
    <mergeCell ref="J6:K6"/>
  </mergeCells>
  <hyperlinks>
    <hyperlink ref="O4" location="'Влияние пок-лей по труду и ЗП'!A1" display="Расчет влияния численности торговых работников и их средней заработной платы на расходы по оплату труда персонала"/>
    <hyperlink ref="O5" location="'Влияние выработки и СЗП'!A1" display="Расчет влияния выработки и средней заработной платы одного торгового работника на сумму расходов по оплате труда персонал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3" min="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2011-02-08T12:15:56Z</cp:lastPrinted>
  <dcterms:created xsi:type="dcterms:W3CDTF">2004-01-26T15:28:24Z</dcterms:created>
  <dcterms:modified xsi:type="dcterms:W3CDTF">2021-03-17T10:22:43Z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