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18780" windowHeight="6000" tabRatio="824" firstSheet="3" activeTab="3"/>
  </bookViews>
  <sheets>
    <sheet name="Оценка по эл-там затрат" sheetId="1" r:id="rId1"/>
    <sheet name="Факторный а-з себ-сти" sheetId="2" r:id="rId2"/>
    <sheet name="Себ-сть при разл. условиях" sheetId="3" r:id="rId3"/>
    <sheet name="Ст-ть продукции при разл. усл." sheetId="4" r:id="rId4"/>
    <sheet name="Затраты на 1 рубль продукции" sheetId="5" r:id="rId5"/>
    <sheet name="Расчет затрат" sheetId="6" r:id="rId6"/>
    <sheet name="Общая величина мат. затрат" sheetId="7" r:id="rId7"/>
    <sheet name="ЗП на ед. продукции" sheetId="8" r:id="rId8"/>
    <sheet name="Общая сумма ЗП" sheetId="9" r:id="rId9"/>
    <sheet name="Общая величина труд. затрат" sheetId="10" r:id="rId10"/>
  </sheets>
  <definedNames>
    <definedName name="_xlnm.Print_Area" localSheetId="4">'Затраты на 1 рубль продукции'!$B$2:$F$12</definedName>
    <definedName name="_xlnm.Print_Area" localSheetId="7">'ЗП на ед. продукции'!$B$2:$P$12</definedName>
    <definedName name="_xlnm.Print_Area" localSheetId="6">'Общая величина мат. затрат'!$B$2:$F$11</definedName>
    <definedName name="_xlnm.Print_Area" localSheetId="9">'Общая величина труд. затрат'!$B$2:$F$11</definedName>
    <definedName name="_xlnm.Print_Area" localSheetId="8">'Общая сумма ЗП'!$B$2:$Q$11</definedName>
    <definedName name="_xlnm.Print_Area" localSheetId="0">'Оценка по эл-там затрат'!$B$2:$J$17</definedName>
    <definedName name="_xlnm.Print_Area" localSheetId="5">'Расчет затрат'!$B$2:$P$11</definedName>
    <definedName name="_xlnm.Print_Area" localSheetId="2">'Себ-сть при разл. условиях'!$B$2:$F$11</definedName>
    <definedName name="_xlnm.Print_Area" localSheetId="3">'Ст-ть продукции при разл. усл.'!$B$2:$O$11</definedName>
    <definedName name="_xlnm.Print_Area" localSheetId="1">'Факторный а-з себ-сти'!$B$2:$M$11</definedName>
  </definedNames>
  <calcPr fullCalcOnLoad="1"/>
</workbook>
</file>

<file path=xl/sharedStrings.xml><?xml version="1.0" encoding="utf-8"?>
<sst xmlns="http://schemas.openxmlformats.org/spreadsheetml/2006/main" count="214" uniqueCount="114">
  <si>
    <t>№ п/п</t>
  </si>
  <si>
    <t>3</t>
  </si>
  <si>
    <t>4</t>
  </si>
  <si>
    <t>2</t>
  </si>
  <si>
    <t>5</t>
  </si>
  <si>
    <t>6</t>
  </si>
  <si>
    <t>Синий цвет цифр обозначает, что заполнение данных ячеек происходит автоматически.</t>
  </si>
  <si>
    <t>1</t>
  </si>
  <si>
    <t>Общая оценка себестоимости по элементам затрат</t>
  </si>
  <si>
    <t>Показатель</t>
  </si>
  <si>
    <t>По плану</t>
  </si>
  <si>
    <t>Фактически</t>
  </si>
  <si>
    <t>Материальные затраты всего, в т.ч.:</t>
  </si>
  <si>
    <t>основное сырье и материалы</t>
  </si>
  <si>
    <t>топливо, энергия и др.</t>
  </si>
  <si>
    <t>Оплата труда</t>
  </si>
  <si>
    <t>Отчисления из заработной платы</t>
  </si>
  <si>
    <t>Амортизация</t>
  </si>
  <si>
    <t>Прочие затраты</t>
  </si>
  <si>
    <t>Полная себестоимость</t>
  </si>
  <si>
    <t>6.1</t>
  </si>
  <si>
    <t>6.2</t>
  </si>
  <si>
    <t>Переменные затраты</t>
  </si>
  <si>
    <t>Постоянные затраты</t>
  </si>
  <si>
    <t>Удельный вес, %</t>
  </si>
  <si>
    <t>по плану</t>
  </si>
  <si>
    <t>фактически</t>
  </si>
  <si>
    <t>Отклонение по сравнению с планом,%</t>
  </si>
  <si>
    <t>3.1</t>
  </si>
  <si>
    <t>3.2</t>
  </si>
  <si>
    <t>Модель</t>
  </si>
  <si>
    <t>Выпуск продукции по плану, ед.</t>
  </si>
  <si>
    <t>Переменные затраты на единицу продукции по плану, тыс. руб.</t>
  </si>
  <si>
    <t>Сумма, тыс. руб</t>
  </si>
  <si>
    <t>Всего переменные затраты по плану, тыс. руб.</t>
  </si>
  <si>
    <t>Выпуск продукции фактически, ед.</t>
  </si>
  <si>
    <t>Переменные затраты на единицу продукции фактически, тыс. руб.</t>
  </si>
  <si>
    <t>Всего переменные затраты фактически, тыс. руб.</t>
  </si>
  <si>
    <t>Всего постоянные затраты по плану, тыс. руб.</t>
  </si>
  <si>
    <t>Всего постоянные затраты фактически, тыс. руб.</t>
  </si>
  <si>
    <t>Модель-1</t>
  </si>
  <si>
    <t>Модель-2</t>
  </si>
  <si>
    <t>Модель-3</t>
  </si>
  <si>
    <t>ИТОГО</t>
  </si>
  <si>
    <t>Модель-5</t>
  </si>
  <si>
    <t>х</t>
  </si>
  <si>
    <t>Факторный анализ себестоимости продукции</t>
  </si>
  <si>
    <t>Общая себестоимость, рассчитанная при различных условиях</t>
  </si>
  <si>
    <t>Показатели</t>
  </si>
  <si>
    <t>Сумма, тыс. руб.</t>
  </si>
  <si>
    <t>Общая себестоимость по плану</t>
  </si>
  <si>
    <t>Себестоимость по плану, пересчитанная на фактический объем производства при плановой структуре</t>
  </si>
  <si>
    <t>Плановый уровень себестоимости на фактический выпуск</t>
  </si>
  <si>
    <t>Общая себестоимость фактически</t>
  </si>
  <si>
    <t>Стоимость произведенной продукции, рассчитанная при различных условиях</t>
  </si>
  <si>
    <t>Цена план, тыс. руб.</t>
  </si>
  <si>
    <t>Структура (план)</t>
  </si>
  <si>
    <t>Цена (факт), тыс. руб.</t>
  </si>
  <si>
    <t xml:space="preserve">Выпуск (план), тыс. руб.                              </t>
  </si>
  <si>
    <t xml:space="preserve">Выпуск факт, тыс. руб. </t>
  </si>
  <si>
    <t>Фактический объем при плановой структуре</t>
  </si>
  <si>
    <t>Фактический объем при плановой структуре и плановых ценах</t>
  </si>
  <si>
    <t>Расчет показателей затрат на рубль произведенной продукции</t>
  </si>
  <si>
    <t>Затраты на 1 руб. продукции</t>
  </si>
  <si>
    <t>Значение, рублей</t>
  </si>
  <si>
    <t>Пересчитанные на фактический объем производства при плановой структуре</t>
  </si>
  <si>
    <t>Пересчитанные на фактический объем производства при плановых  ценах</t>
  </si>
  <si>
    <t>Себестоимость фактическая при плановом уровне постоянных затрат</t>
  </si>
  <si>
    <t>Пересчитанные при плановом уровне постоянных затрат и фактическом выпуске</t>
  </si>
  <si>
    <t>Пересчитанные при фактическом уровне затрат, фактическом объеме и плановых ценах</t>
  </si>
  <si>
    <t>Фактический объем при плановых ценах</t>
  </si>
  <si>
    <t>Выпуск по плану, ед.</t>
  </si>
  <si>
    <t>Плановые затраты на единицу продукции, тыс. руб.</t>
  </si>
  <si>
    <t>Материальные затраты по плану, тыс. руб.</t>
  </si>
  <si>
    <t>Фактические затраты на единицу продукции, тыс. руб.</t>
  </si>
  <si>
    <t>Материальные затраты фактически, тыс. руб.</t>
  </si>
  <si>
    <t>Коэффициент выполнения плана</t>
  </si>
  <si>
    <t>Материальные затраты на единицу продукции при фактической норме расхода, но плановой стоимости материала, тыс. руб.</t>
  </si>
  <si>
    <t>Материальные затраты, пересчитанные на фактический объем при плановой структуре, тыс. руб.</t>
  </si>
  <si>
    <t>Материальные затраты, пересчитанные на фактический объем производства, но при плановом уровне материальных затрат на единицу продукции, тыс. руб.</t>
  </si>
  <si>
    <t>Материальные затраты, пересчитанные на фактический объем производства и фактическую норму расхода материала на единицу,при плановой стоимости материалов, тыс. руб.</t>
  </si>
  <si>
    <t>Данные по общей величине материальных затрат</t>
  </si>
  <si>
    <t xml:space="preserve">Материальные затраты, пересчитанные на фактический объем при плановой структуре </t>
  </si>
  <si>
    <t>Материальные затраты по плану</t>
  </si>
  <si>
    <t xml:space="preserve">Материальные затраты, пересчитанные на фактический объем производства, но при плановом уровне материальных затрат на единицу продукции </t>
  </si>
  <si>
    <t>Материальные затраты, пересчитанные на фактический объем производства и фактическую норму расхода материала на единицу, а и стоимость материалов плановая</t>
  </si>
  <si>
    <t>Материальные затраты фактически</t>
  </si>
  <si>
    <t>Анализ заработной платы на единицу продукции</t>
  </si>
  <si>
    <t>Оплата труда за один                                           человеко-час, руб.</t>
  </si>
  <si>
    <t>Заработная плата за единицу продукции, руб.</t>
  </si>
  <si>
    <t>отклонение</t>
  </si>
  <si>
    <t>Трудоемкость, человеко-часы</t>
  </si>
  <si>
    <t>абсолютное  отклонение   (гр.3 - гр.2)</t>
  </si>
  <si>
    <t>абсолютное отклонение</t>
  </si>
  <si>
    <t>общее</t>
  </si>
  <si>
    <t>за счет трудоемкости</t>
  </si>
  <si>
    <t>за счет оплаты труда</t>
  </si>
  <si>
    <t>Трудоемкость фактическая, нормо-часы</t>
  </si>
  <si>
    <t>Оплата труда за один человеко-час плановая, руб.</t>
  </si>
  <si>
    <t>Заработная плата за единицу продукции по плану, руб.</t>
  </si>
  <si>
    <t>Заработная плата за единицу продукции фактически, руб.</t>
  </si>
  <si>
    <t>Общая величина заработной платы на весь объем выпуска по плану, руб.</t>
  </si>
  <si>
    <t>Общая величина заработной платы, пересчитанная на фактический объем при плановой структуре, руб.</t>
  </si>
  <si>
    <t>Общая величина заработной платы, пересчитанная на фактический объем производства, но при плановом уровне заработной платы единицы продукции, руб.</t>
  </si>
  <si>
    <t>Общая величина заработной платы, пересчитанная на фактический объем производства при фактической трудоемкости и плановом уровне оплаты труда, руб.</t>
  </si>
  <si>
    <t>Общая сумма заработной платы на весь объем выпуска фактически, руб.</t>
  </si>
  <si>
    <t>Расчет общей суммы заработной платы</t>
  </si>
  <si>
    <t>Данные по общей величине прямых трудовых затрат</t>
  </si>
  <si>
    <t>Общая сумма заработной платы на весь объем выпуска по плану</t>
  </si>
  <si>
    <t>Общая величина заработной платы, пересчитанная на фактический объем, но при плановой структуре</t>
  </si>
  <si>
    <t>Общая величина заработной платы, пересчитанная на фактический объем производства, но при плановом уровне заработной платы единицы продукции</t>
  </si>
  <si>
    <t>Общая величина заработной платы, пересчитанная на фактический объем производства при фактической трудоемкости и плановом уровне оплаты труда</t>
  </si>
  <si>
    <t>Общая сумма заработной платы на весь объем выпуска фактически</t>
  </si>
  <si>
    <t>Расчет затрат материалов и сырья на производство продукции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</si>
</sst>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* #,##0_);_(* \-#,##0_);_(* &quot;-&quot;??_);_(@_)"/>
    <numFmt numFmtId="174" formatCode="0.000"/>
    <numFmt numFmtId="175" formatCode="0.0"/>
    <numFmt numFmtId="176" formatCode="00"/>
    <numFmt numFmtId="177" formatCode="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0.0000"/>
    <numFmt numFmtId="184" formatCode="0.00000"/>
    <numFmt numFmtId="185" formatCode="0.000000"/>
    <numFmt numFmtId="186" formatCode="0.0%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52">
    <font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sz val="8"/>
      <color indexed="30"/>
      <name val="Tahoma"/>
      <family val="2"/>
    </font>
    <font>
      <sz val="10"/>
      <color indexed="30"/>
      <name val="Tahoma"/>
      <family val="2"/>
    </font>
    <font>
      <b/>
      <sz val="10"/>
      <color indexed="30"/>
      <name val="Tahoma"/>
      <family val="2"/>
    </font>
    <font>
      <sz val="12"/>
      <color indexed="30"/>
      <name val="Tahoma"/>
      <family val="2"/>
    </font>
    <font>
      <sz val="11"/>
      <color indexed="30"/>
      <name val="Tahoma"/>
      <family val="2"/>
    </font>
    <font>
      <b/>
      <sz val="11"/>
      <name val="Tahoma"/>
      <family val="2"/>
    </font>
    <font>
      <b/>
      <sz val="11"/>
      <color indexed="3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4" fillId="33" borderId="12" xfId="0" applyFont="1" applyFill="1" applyBorder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Border="1" applyAlignment="1" applyProtection="1">
      <alignment vertical="center"/>
      <protection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4" fillId="32" borderId="0" xfId="0" applyNumberFormat="1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 hidden="1"/>
    </xf>
    <xf numFmtId="10" fontId="12" fillId="0" borderId="13" xfId="0" applyNumberFormat="1" applyFont="1" applyBorder="1" applyAlignment="1">
      <alignment horizontal="center" vertical="center" wrapText="1"/>
    </xf>
    <xf numFmtId="0" fontId="4" fillId="32" borderId="0" xfId="0" applyFont="1" applyFill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left"/>
      <protection hidden="1"/>
    </xf>
    <xf numFmtId="0" fontId="8" fillId="33" borderId="14" xfId="0" applyFont="1" applyFill="1" applyBorder="1" applyAlignment="1" applyProtection="1">
      <alignment vertical="center"/>
      <protection hidden="1"/>
    </xf>
    <xf numFmtId="0" fontId="8" fillId="33" borderId="15" xfId="0" applyFont="1" applyFill="1" applyBorder="1" applyAlignment="1" applyProtection="1">
      <alignment vertical="center"/>
      <protection hidden="1"/>
    </xf>
    <xf numFmtId="0" fontId="8" fillId="33" borderId="16" xfId="0" applyFont="1" applyFill="1" applyBorder="1" applyAlignment="1" applyProtection="1">
      <alignment vertical="center"/>
      <protection hidden="1"/>
    </xf>
    <xf numFmtId="0" fontId="8" fillId="33" borderId="10" xfId="0" applyFont="1" applyFill="1" applyBorder="1" applyAlignment="1" applyProtection="1">
      <alignment vertical="center"/>
      <protection hidden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4" fillId="33" borderId="17" xfId="0" applyFont="1" applyFill="1" applyBorder="1" applyAlignment="1" applyProtection="1">
      <alignment vertical="center" wrapText="1"/>
      <protection hidden="1"/>
    </xf>
    <xf numFmtId="0" fontId="4" fillId="33" borderId="18" xfId="0" applyFont="1" applyFill="1" applyBorder="1" applyAlignment="1" applyProtection="1">
      <alignment vertical="center" wrapText="1"/>
      <protection hidden="1"/>
    </xf>
    <xf numFmtId="0" fontId="2" fillId="0" borderId="13" xfId="0" applyFont="1" applyBorder="1" applyAlignment="1">
      <alignment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vertical="center"/>
      <protection hidden="1"/>
    </xf>
    <xf numFmtId="0" fontId="10" fillId="33" borderId="10" xfId="0" applyFont="1" applyFill="1" applyBorder="1" applyAlignment="1" applyProtection="1">
      <alignment vertical="center"/>
      <protection hidden="1"/>
    </xf>
    <xf numFmtId="49" fontId="2" fillId="0" borderId="13" xfId="0" applyNumberFormat="1" applyFont="1" applyBorder="1" applyAlignment="1">
      <alignment horizontal="center" vertical="center" wrapText="1"/>
    </xf>
    <xf numFmtId="0" fontId="10" fillId="33" borderId="11" xfId="0" applyFont="1" applyFill="1" applyBorder="1" applyAlignment="1" applyProtection="1">
      <alignment vertical="center"/>
      <protection hidden="1"/>
    </xf>
    <xf numFmtId="182" fontId="10" fillId="32" borderId="0" xfId="0" applyNumberFormat="1" applyFont="1" applyFill="1" applyBorder="1" applyAlignment="1" applyProtection="1">
      <alignment vertical="center"/>
      <protection/>
    </xf>
    <xf numFmtId="10" fontId="13" fillId="0" borderId="13" xfId="0" applyNumberFormat="1" applyFont="1" applyBorder="1" applyAlignment="1">
      <alignment horizontal="center" vertical="center" wrapText="1"/>
    </xf>
    <xf numFmtId="182" fontId="13" fillId="0" borderId="13" xfId="0" applyNumberFormat="1" applyFont="1" applyBorder="1" applyAlignment="1">
      <alignment horizontal="center" vertical="center" wrapText="1"/>
    </xf>
    <xf numFmtId="0" fontId="3" fillId="34" borderId="19" xfId="0" applyFont="1" applyFill="1" applyBorder="1" applyAlignment="1" applyProtection="1">
      <alignment horizontal="center" vertical="center" wrapText="1"/>
      <protection hidden="1"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3" fontId="4" fillId="34" borderId="13" xfId="0" applyNumberFormat="1" applyFont="1" applyFill="1" applyBorder="1" applyAlignment="1">
      <alignment horizontal="center" vertical="center" wrapText="1"/>
    </xf>
    <xf numFmtId="182" fontId="4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>
      <alignment vertical="center" wrapText="1"/>
    </xf>
    <xf numFmtId="189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82" fontId="14" fillId="0" borderId="13" xfId="0" applyNumberFormat="1" applyFont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 applyProtection="1">
      <alignment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49" fontId="9" fillId="0" borderId="13" xfId="0" applyNumberFormat="1" applyFont="1" applyBorder="1" applyAlignment="1">
      <alignment horizontal="center" vertical="center" wrapText="1"/>
    </xf>
    <xf numFmtId="0" fontId="7" fillId="34" borderId="13" xfId="0" applyFont="1" applyFill="1" applyBorder="1" applyAlignment="1" applyProtection="1">
      <alignment horizontal="center" vertical="center" wrapText="1"/>
      <protection hidden="1"/>
    </xf>
    <xf numFmtId="49" fontId="7" fillId="0" borderId="13" xfId="0" applyNumberFormat="1" applyFont="1" applyBorder="1" applyAlignment="1">
      <alignment horizontal="center" vertical="center" wrapText="1"/>
    </xf>
    <xf numFmtId="172" fontId="15" fillId="0" borderId="13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172" fontId="12" fillId="0" borderId="13" xfId="0" applyNumberFormat="1" applyFont="1" applyBorder="1" applyAlignment="1">
      <alignment horizontal="center" vertical="center" wrapText="1"/>
    </xf>
    <xf numFmtId="187" fontId="12" fillId="0" borderId="13" xfId="0" applyNumberFormat="1" applyFont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vertical="center"/>
      <protection/>
    </xf>
    <xf numFmtId="4" fontId="13" fillId="0" borderId="13" xfId="0" applyNumberFormat="1" applyFont="1" applyBorder="1" applyAlignment="1">
      <alignment horizontal="center" vertical="center" wrapText="1"/>
    </xf>
    <xf numFmtId="189" fontId="12" fillId="0" borderId="13" xfId="0" applyNumberFormat="1" applyFont="1" applyBorder="1" applyAlignment="1">
      <alignment horizontal="center" vertical="center" wrapText="1"/>
    </xf>
    <xf numFmtId="182" fontId="7" fillId="0" borderId="13" xfId="0" applyNumberFormat="1" applyFont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 wrapText="1"/>
    </xf>
    <xf numFmtId="182" fontId="15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 indent="1"/>
    </xf>
    <xf numFmtId="49" fontId="16" fillId="0" borderId="1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182" fontId="17" fillId="0" borderId="13" xfId="0" applyNumberFormat="1" applyFont="1" applyBorder="1" applyAlignment="1">
      <alignment horizontal="center" vertical="center" wrapText="1"/>
    </xf>
    <xf numFmtId="10" fontId="17" fillId="0" borderId="13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 applyProtection="1">
      <alignment horizontal="center" vertical="center" wrapText="1"/>
      <protection hidden="1"/>
    </xf>
    <xf numFmtId="0" fontId="1" fillId="34" borderId="13" xfId="0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3" xfId="0" applyFont="1" applyFill="1" applyBorder="1" applyAlignment="1" applyProtection="1">
      <alignment horizontal="center" vertical="center" wrapText="1"/>
      <protection hidden="1"/>
    </xf>
    <xf numFmtId="3" fontId="1" fillId="34" borderId="13" xfId="0" applyNumberFormat="1" applyFont="1" applyFill="1" applyBorder="1" applyAlignment="1">
      <alignment horizontal="center" vertical="center" wrapText="1"/>
    </xf>
    <xf numFmtId="182" fontId="12" fillId="0" borderId="19" xfId="0" applyNumberFormat="1" applyFont="1" applyBorder="1" applyAlignment="1">
      <alignment horizontal="center" vertical="center" wrapText="1"/>
    </xf>
    <xf numFmtId="182" fontId="12" fillId="0" borderId="21" xfId="0" applyNumberFormat="1" applyFont="1" applyBorder="1" applyAlignment="1">
      <alignment horizontal="center" vertical="center" wrapText="1"/>
    </xf>
    <xf numFmtId="182" fontId="12" fillId="0" borderId="22" xfId="0" applyNumberFormat="1" applyFont="1" applyBorder="1" applyAlignment="1">
      <alignment horizontal="center" vertical="center" wrapText="1"/>
    </xf>
    <xf numFmtId="0" fontId="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19" xfId="0" applyFont="1" applyFill="1" applyBorder="1" applyAlignment="1" applyProtection="1">
      <alignment horizontal="center"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3" fillId="34" borderId="23" xfId="0" applyFont="1" applyFill="1" applyBorder="1" applyAlignment="1" applyProtection="1">
      <alignment horizontal="center" vertical="center" wrapText="1"/>
      <protection hidden="1"/>
    </xf>
    <xf numFmtId="0" fontId="3" fillId="34" borderId="24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4" fillId="34" borderId="20" xfId="0" applyFont="1" applyFill="1" applyBorder="1" applyAlignment="1" applyProtection="1">
      <alignment horizontal="center" vertical="center" wrapText="1"/>
      <protection hidden="1"/>
    </xf>
    <xf numFmtId="0" fontId="4" fillId="34" borderId="23" xfId="0" applyFont="1" applyFill="1" applyBorder="1" applyAlignment="1" applyProtection="1">
      <alignment horizontal="center" vertical="center" wrapText="1"/>
      <protection hidden="1"/>
    </xf>
    <xf numFmtId="0" fontId="4" fillId="34" borderId="24" xfId="0" applyFont="1" applyFill="1" applyBorder="1" applyAlignment="1" applyProtection="1">
      <alignment horizontal="center" vertical="center" wrapText="1"/>
      <protection hidden="1"/>
    </xf>
    <xf numFmtId="0" fontId="4" fillId="34" borderId="25" xfId="0" applyFont="1" applyFill="1" applyBorder="1" applyAlignment="1" applyProtection="1">
      <alignment horizontal="center" vertical="center" wrapText="1"/>
      <protection hidden="1"/>
    </xf>
    <xf numFmtId="0" fontId="4" fillId="34" borderId="26" xfId="0" applyFont="1" applyFill="1" applyBorder="1" applyAlignment="1" applyProtection="1">
      <alignment horizontal="center" vertical="center" wrapText="1"/>
      <protection hidden="1"/>
    </xf>
    <xf numFmtId="0" fontId="4" fillId="34" borderId="27" xfId="0" applyFont="1" applyFill="1" applyBorder="1" applyAlignment="1" applyProtection="1">
      <alignment horizontal="center" vertical="center" wrapText="1"/>
      <protection hidden="1"/>
    </xf>
    <xf numFmtId="0" fontId="4" fillId="34" borderId="28" xfId="0" applyFont="1" applyFill="1" applyBorder="1" applyAlignment="1" applyProtection="1">
      <alignment horizontal="center" vertical="center" wrapText="1"/>
      <protection hidden="1"/>
    </xf>
    <xf numFmtId="0" fontId="4" fillId="34" borderId="29" xfId="0" applyFont="1" applyFill="1" applyBorder="1" applyAlignment="1" applyProtection="1">
      <alignment horizontal="center" vertical="center" wrapText="1"/>
      <protection hidden="1"/>
    </xf>
    <xf numFmtId="0" fontId="4" fillId="34" borderId="30" xfId="0" applyFont="1" applyFill="1" applyBorder="1" applyAlignment="1" applyProtection="1">
      <alignment horizontal="center" vertical="center" wrapText="1"/>
      <protection hidden="1"/>
    </xf>
    <xf numFmtId="0" fontId="4" fillId="34" borderId="19" xfId="0" applyFont="1" applyFill="1" applyBorder="1" applyAlignment="1" applyProtection="1">
      <alignment horizontal="center" vertical="center" wrapText="1"/>
      <protection hidden="1"/>
    </xf>
    <xf numFmtId="0" fontId="4" fillId="34" borderId="22" xfId="0" applyFont="1" applyFill="1" applyBorder="1" applyAlignment="1" applyProtection="1">
      <alignment horizontal="center" vertical="center" wrapText="1"/>
      <protection hidden="1"/>
    </xf>
    <xf numFmtId="172" fontId="2" fillId="0" borderId="28" xfId="0" applyNumberFormat="1" applyFont="1" applyBorder="1" applyAlignment="1">
      <alignment horizontal="center" vertical="center" wrapText="1"/>
    </xf>
    <xf numFmtId="172" fontId="2" fillId="0" borderId="29" xfId="0" applyNumberFormat="1" applyFont="1" applyBorder="1" applyAlignment="1">
      <alignment horizontal="center" vertical="center" wrapText="1"/>
    </xf>
    <xf numFmtId="172" fontId="2" fillId="0" borderId="3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AP17"/>
  <sheetViews>
    <sheetView workbookViewId="0" topLeftCell="A1">
      <selection activeCell="C3" sqref="C3:I3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7.125" style="15" customWidth="1"/>
    <col min="4" max="4" width="39.625" style="15" customWidth="1"/>
    <col min="5" max="6" width="12.625" style="16" bestFit="1" customWidth="1"/>
    <col min="7" max="8" width="11.75390625" style="16" bestFit="1" customWidth="1"/>
    <col min="9" max="9" width="16.25390625" style="16" customWidth="1"/>
    <col min="10" max="10" width="3.00390625" style="1" customWidth="1"/>
    <col min="11" max="13" width="2.75390625" style="1" customWidth="1"/>
    <col min="14" max="14" width="6.625" style="1" bestFit="1" customWidth="1"/>
    <col min="15" max="15" width="2.75390625" style="1" customWidth="1"/>
    <col min="16" max="16" width="6.625" style="1" bestFit="1" customWidth="1"/>
    <col min="17" max="18" width="2.75390625" style="1" customWidth="1"/>
    <col min="19" max="23" width="3.25390625" style="1" bestFit="1" customWidth="1"/>
    <col min="24" max="24" width="4.75390625" style="1" bestFit="1" customWidth="1"/>
    <col min="25" max="16384" width="2.75390625" style="1" customWidth="1"/>
  </cols>
  <sheetData>
    <row r="1" spans="2:17" ht="15" customHeight="1" thickBot="1"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42" ht="11.25" customHeight="1">
      <c r="B2" s="17"/>
      <c r="C2" s="18"/>
      <c r="D2" s="18"/>
      <c r="E2" s="18"/>
      <c r="F2" s="18"/>
      <c r="G2" s="18"/>
      <c r="H2" s="18"/>
      <c r="I2" s="18"/>
      <c r="J2" s="19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2:42" ht="18">
      <c r="B3" s="20"/>
      <c r="C3" s="71" t="s">
        <v>8</v>
      </c>
      <c r="D3" s="71"/>
      <c r="E3" s="71"/>
      <c r="F3" s="71"/>
      <c r="G3" s="71"/>
      <c r="H3" s="71"/>
      <c r="I3" s="71"/>
      <c r="J3" s="21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2:42" ht="12.75" customHeight="1">
      <c r="B4" s="20"/>
      <c r="C4" s="7"/>
      <c r="D4" s="7"/>
      <c r="E4" s="7"/>
      <c r="F4" s="7"/>
      <c r="G4" s="7"/>
      <c r="H4" s="7"/>
      <c r="I4" s="7"/>
      <c r="J4" s="21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2:42" ht="14.25">
      <c r="B5" s="22"/>
      <c r="C5" s="72" t="s">
        <v>0</v>
      </c>
      <c r="D5" s="72" t="s">
        <v>9</v>
      </c>
      <c r="E5" s="73" t="s">
        <v>33</v>
      </c>
      <c r="F5" s="73"/>
      <c r="G5" s="73" t="s">
        <v>24</v>
      </c>
      <c r="H5" s="73"/>
      <c r="I5" s="73" t="s">
        <v>27</v>
      </c>
      <c r="J5" s="21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2:42" ht="14.25">
      <c r="B6" s="22"/>
      <c r="C6" s="72"/>
      <c r="D6" s="72"/>
      <c r="E6" s="70" t="s">
        <v>25</v>
      </c>
      <c r="F6" s="69" t="s">
        <v>26</v>
      </c>
      <c r="G6" s="70" t="s">
        <v>25</v>
      </c>
      <c r="H6" s="69" t="s">
        <v>26</v>
      </c>
      <c r="I6" s="73"/>
      <c r="J6" s="21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2:24" s="13" customFormat="1" ht="17.25" customHeight="1">
      <c r="B7" s="2"/>
      <c r="C7" s="50" t="s">
        <v>7</v>
      </c>
      <c r="D7" s="41" t="s">
        <v>15</v>
      </c>
      <c r="E7" s="61">
        <v>40000</v>
      </c>
      <c r="F7" s="61">
        <v>42000</v>
      </c>
      <c r="G7" s="62">
        <f>E7/$E$14</f>
        <v>0.17777777777777778</v>
      </c>
      <c r="H7" s="62">
        <f>F7/$F$14</f>
        <v>0.17567341475656684</v>
      </c>
      <c r="I7" s="62">
        <f>H7-G7</f>
        <v>-0.0021043630212109476</v>
      </c>
      <c r="J7" s="3"/>
      <c r="S7" s="12"/>
      <c r="T7" s="12"/>
      <c r="U7" s="12"/>
      <c r="V7" s="12"/>
      <c r="W7" s="12"/>
      <c r="X7" s="12"/>
    </row>
    <row r="8" spans="2:24" s="13" customFormat="1" ht="14.25">
      <c r="B8" s="2"/>
      <c r="C8" s="50" t="s">
        <v>3</v>
      </c>
      <c r="D8" s="41" t="s">
        <v>16</v>
      </c>
      <c r="E8" s="61">
        <v>56000</v>
      </c>
      <c r="F8" s="61">
        <v>58800</v>
      </c>
      <c r="G8" s="62">
        <f aca="true" t="shared" si="0" ref="G8:G16">E8/$E$14</f>
        <v>0.24888888888888888</v>
      </c>
      <c r="H8" s="62">
        <f aca="true" t="shared" si="1" ref="H8:H16">F8/$F$14</f>
        <v>0.2459427806591936</v>
      </c>
      <c r="I8" s="62">
        <f aca="true" t="shared" si="2" ref="I8:I16">H8-G8</f>
        <v>-0.0029461082296952934</v>
      </c>
      <c r="J8" s="3"/>
      <c r="S8" s="12"/>
      <c r="T8" s="12"/>
      <c r="U8" s="12"/>
      <c r="V8" s="12"/>
      <c r="W8" s="12"/>
      <c r="X8" s="12"/>
    </row>
    <row r="9" spans="2:24" s="8" customFormat="1" ht="14.25">
      <c r="B9" s="2"/>
      <c r="C9" s="50" t="s">
        <v>1</v>
      </c>
      <c r="D9" s="41" t="s">
        <v>12</v>
      </c>
      <c r="E9" s="63">
        <f>E10+E11</f>
        <v>75000</v>
      </c>
      <c r="F9" s="63">
        <f>F10+F11</f>
        <v>76700</v>
      </c>
      <c r="G9" s="62">
        <f t="shared" si="0"/>
        <v>0.3333333333333333</v>
      </c>
      <c r="H9" s="62">
        <f t="shared" si="1"/>
        <v>0.32081311694830184</v>
      </c>
      <c r="I9" s="62">
        <f t="shared" si="2"/>
        <v>-0.01252021638503148</v>
      </c>
      <c r="J9" s="3"/>
      <c r="S9" s="12"/>
      <c r="T9" s="12"/>
      <c r="U9" s="12"/>
      <c r="V9" s="12"/>
      <c r="W9" s="12"/>
      <c r="X9" s="12"/>
    </row>
    <row r="10" spans="2:24" s="13" customFormat="1" ht="14.25">
      <c r="B10" s="2"/>
      <c r="C10" s="50" t="s">
        <v>28</v>
      </c>
      <c r="D10" s="64" t="s">
        <v>13</v>
      </c>
      <c r="E10" s="61">
        <v>50000</v>
      </c>
      <c r="F10" s="61">
        <v>49000</v>
      </c>
      <c r="G10" s="62">
        <f t="shared" si="0"/>
        <v>0.2222222222222222</v>
      </c>
      <c r="H10" s="62">
        <f t="shared" si="1"/>
        <v>0.20495231721599463</v>
      </c>
      <c r="I10" s="62">
        <f t="shared" si="2"/>
        <v>-0.017269905006227576</v>
      </c>
      <c r="J10" s="3"/>
      <c r="S10" s="12"/>
      <c r="T10" s="12"/>
      <c r="U10" s="12"/>
      <c r="V10" s="12"/>
      <c r="W10" s="12"/>
      <c r="X10" s="12"/>
    </row>
    <row r="11" spans="2:24" s="13" customFormat="1" ht="14.25">
      <c r="B11" s="2"/>
      <c r="C11" s="50" t="s">
        <v>29</v>
      </c>
      <c r="D11" s="64" t="s">
        <v>14</v>
      </c>
      <c r="E11" s="61">
        <v>25000</v>
      </c>
      <c r="F11" s="61">
        <v>27700</v>
      </c>
      <c r="G11" s="62">
        <f t="shared" si="0"/>
        <v>0.1111111111111111</v>
      </c>
      <c r="H11" s="62">
        <f t="shared" si="1"/>
        <v>0.11586079973230717</v>
      </c>
      <c r="I11" s="62">
        <f t="shared" si="2"/>
        <v>0.004749688621196069</v>
      </c>
      <c r="J11" s="3"/>
      <c r="S11" s="12"/>
      <c r="T11" s="12"/>
      <c r="U11" s="12"/>
      <c r="V11" s="12"/>
      <c r="W11" s="12"/>
      <c r="X11" s="12"/>
    </row>
    <row r="12" spans="2:24" s="13" customFormat="1" ht="14.25">
      <c r="B12" s="2"/>
      <c r="C12" s="50" t="s">
        <v>2</v>
      </c>
      <c r="D12" s="41" t="s">
        <v>17</v>
      </c>
      <c r="E12" s="61">
        <v>17000</v>
      </c>
      <c r="F12" s="61">
        <v>16580</v>
      </c>
      <c r="G12" s="62">
        <f t="shared" si="0"/>
        <v>0.07555555555555556</v>
      </c>
      <c r="H12" s="62">
        <f t="shared" si="1"/>
        <v>0.06934917182533043</v>
      </c>
      <c r="I12" s="62">
        <f t="shared" si="2"/>
        <v>-0.006206383730225126</v>
      </c>
      <c r="J12" s="3"/>
      <c r="S12" s="12"/>
      <c r="T12" s="12"/>
      <c r="U12" s="12"/>
      <c r="V12" s="12"/>
      <c r="W12" s="12"/>
      <c r="X12" s="12"/>
    </row>
    <row r="13" spans="2:24" s="13" customFormat="1" ht="14.25">
      <c r="B13" s="2"/>
      <c r="C13" s="50" t="s">
        <v>4</v>
      </c>
      <c r="D13" s="41" t="s">
        <v>18</v>
      </c>
      <c r="E13" s="61">
        <v>37000</v>
      </c>
      <c r="F13" s="61">
        <v>45000</v>
      </c>
      <c r="G13" s="62">
        <f t="shared" si="0"/>
        <v>0.16444444444444445</v>
      </c>
      <c r="H13" s="62">
        <f t="shared" si="1"/>
        <v>0.18822151581060734</v>
      </c>
      <c r="I13" s="62">
        <f t="shared" si="2"/>
        <v>0.02377707136616289</v>
      </c>
      <c r="J13" s="3"/>
      <c r="S13" s="12"/>
      <c r="T13" s="12"/>
      <c r="U13" s="12"/>
      <c r="V13" s="12"/>
      <c r="W13" s="12"/>
      <c r="X13" s="12"/>
    </row>
    <row r="14" spans="2:24" s="27" customFormat="1" ht="14.25">
      <c r="B14" s="28"/>
      <c r="C14" s="65" t="s">
        <v>5</v>
      </c>
      <c r="D14" s="66" t="s">
        <v>19</v>
      </c>
      <c r="E14" s="67">
        <f>E9+E7+E8+E12+E13</f>
        <v>225000</v>
      </c>
      <c r="F14" s="67">
        <f>F9+F7+F8+F12+F13</f>
        <v>239080</v>
      </c>
      <c r="G14" s="68">
        <f t="shared" si="0"/>
        <v>1</v>
      </c>
      <c r="H14" s="68">
        <f t="shared" si="1"/>
        <v>1</v>
      </c>
      <c r="I14" s="68">
        <f t="shared" si="2"/>
        <v>0</v>
      </c>
      <c r="J14" s="30"/>
      <c r="S14" s="31"/>
      <c r="T14" s="31"/>
      <c r="U14" s="31"/>
      <c r="V14" s="31"/>
      <c r="W14" s="31"/>
      <c r="X14" s="31"/>
    </row>
    <row r="15" spans="2:24" s="13" customFormat="1" ht="14.25">
      <c r="B15" s="2"/>
      <c r="C15" s="50" t="s">
        <v>20</v>
      </c>
      <c r="D15" s="41" t="s">
        <v>22</v>
      </c>
      <c r="E15" s="61">
        <v>120000</v>
      </c>
      <c r="F15" s="61">
        <v>119500</v>
      </c>
      <c r="G15" s="62">
        <f t="shared" si="0"/>
        <v>0.5333333333333333</v>
      </c>
      <c r="H15" s="62">
        <f t="shared" si="1"/>
        <v>0.49983269198594615</v>
      </c>
      <c r="I15" s="62">
        <f t="shared" si="2"/>
        <v>-0.03350064134738717</v>
      </c>
      <c r="J15" s="3"/>
      <c r="S15" s="12"/>
      <c r="T15" s="12"/>
      <c r="U15" s="12"/>
      <c r="V15" s="12"/>
      <c r="W15" s="12"/>
      <c r="X15" s="12"/>
    </row>
    <row r="16" spans="2:24" s="13" customFormat="1" ht="14.25">
      <c r="B16" s="2"/>
      <c r="C16" s="50" t="s">
        <v>21</v>
      </c>
      <c r="D16" s="41" t="s">
        <v>23</v>
      </c>
      <c r="E16" s="63">
        <f>E14-E15</f>
        <v>105000</v>
      </c>
      <c r="F16" s="63">
        <f>F14-F15</f>
        <v>119580</v>
      </c>
      <c r="G16" s="62">
        <f t="shared" si="0"/>
        <v>0.4666666666666667</v>
      </c>
      <c r="H16" s="62">
        <f t="shared" si="1"/>
        <v>0.5001673080140538</v>
      </c>
      <c r="I16" s="62">
        <f t="shared" si="2"/>
        <v>0.03350064134738717</v>
      </c>
      <c r="J16" s="3"/>
      <c r="S16" s="12"/>
      <c r="T16" s="12"/>
      <c r="U16" s="12"/>
      <c r="V16" s="12"/>
      <c r="W16" s="12"/>
      <c r="X16" s="12"/>
    </row>
    <row r="17" spans="2:10" ht="11.25" thickBot="1">
      <c r="B17" s="4"/>
      <c r="C17" s="23"/>
      <c r="D17" s="23"/>
      <c r="E17" s="23"/>
      <c r="F17" s="23"/>
      <c r="G17" s="23"/>
      <c r="H17" s="23"/>
      <c r="I17" s="23"/>
      <c r="J17" s="24"/>
    </row>
  </sheetData>
  <sheetProtection/>
  <mergeCells count="6">
    <mergeCell ref="C3:I3"/>
    <mergeCell ref="C5:C6"/>
    <mergeCell ref="D5:D6"/>
    <mergeCell ref="E5:F5"/>
    <mergeCell ref="G5:H5"/>
    <mergeCell ref="I5:I6"/>
  </mergeCells>
  <printOptions/>
  <pageMargins left="0.7" right="0.7" top="0.75" bottom="0.75" header="0.3" footer="0.3"/>
  <pageSetup horizontalDpi="300" verticalDpi="300" orientation="portrait" paperSize="9" scale="74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0" min="1" max="2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AK11"/>
  <sheetViews>
    <sheetView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5" customWidth="1"/>
    <col min="4" max="4" width="67.875" style="15" customWidth="1"/>
    <col min="5" max="5" width="35.00390625" style="15" customWidth="1"/>
    <col min="6" max="6" width="3.00390625" style="1" customWidth="1"/>
    <col min="7" max="8" width="2.75390625" style="1" customWidth="1"/>
    <col min="9" max="9" width="6.625" style="1" bestFit="1" customWidth="1"/>
    <col min="10" max="10" width="2.75390625" style="1" customWidth="1"/>
    <col min="11" max="11" width="6.625" style="1" bestFit="1" customWidth="1"/>
    <col min="12" max="13" width="2.75390625" style="1" customWidth="1"/>
    <col min="14" max="18" width="3.25390625" style="1" bestFit="1" customWidth="1"/>
    <col min="19" max="19" width="4.75390625" style="1" bestFit="1" customWidth="1"/>
    <col min="20" max="16384" width="2.75390625" style="1" customWidth="1"/>
  </cols>
  <sheetData>
    <row r="1" spans="2:12" ht="15" customHeight="1" thickBot="1"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37" ht="11.25" customHeight="1">
      <c r="B2" s="17"/>
      <c r="C2" s="18"/>
      <c r="D2" s="18"/>
      <c r="E2" s="18"/>
      <c r="F2" s="1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2:37" ht="18">
      <c r="B3" s="20"/>
      <c r="C3" s="71" t="s">
        <v>107</v>
      </c>
      <c r="D3" s="71"/>
      <c r="E3" s="71"/>
      <c r="F3" s="21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7" ht="12.75" customHeight="1">
      <c r="B4" s="20"/>
      <c r="C4" s="7"/>
      <c r="D4" s="7"/>
      <c r="E4" s="7"/>
      <c r="F4" s="2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2:37" ht="30">
      <c r="B5" s="22"/>
      <c r="C5" s="47" t="s">
        <v>0</v>
      </c>
      <c r="D5" s="47" t="s">
        <v>48</v>
      </c>
      <c r="E5" s="47" t="s">
        <v>49</v>
      </c>
      <c r="F5" s="21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2:19" s="13" customFormat="1" ht="30">
      <c r="B6" s="2"/>
      <c r="C6" s="48" t="s">
        <v>7</v>
      </c>
      <c r="D6" s="42" t="s">
        <v>108</v>
      </c>
      <c r="E6" s="52">
        <f>'Общая сумма ЗП'!K10</f>
        <v>5111500</v>
      </c>
      <c r="F6" s="3"/>
      <c r="N6" s="12"/>
      <c r="O6" s="12"/>
      <c r="P6" s="12"/>
      <c r="Q6" s="12"/>
      <c r="R6" s="12"/>
      <c r="S6" s="12"/>
    </row>
    <row r="7" spans="2:19" s="13" customFormat="1" ht="38.25" customHeight="1">
      <c r="B7" s="2"/>
      <c r="C7" s="48" t="s">
        <v>3</v>
      </c>
      <c r="D7" s="42" t="s">
        <v>109</v>
      </c>
      <c r="E7" s="52">
        <f>'Общая сумма ЗП'!L10</f>
        <v>5231395.3440000005</v>
      </c>
      <c r="F7" s="3"/>
      <c r="N7" s="12"/>
      <c r="O7" s="12"/>
      <c r="P7" s="12"/>
      <c r="Q7" s="12"/>
      <c r="R7" s="12"/>
      <c r="S7" s="12"/>
    </row>
    <row r="8" spans="2:19" s="8" customFormat="1" ht="56.25" customHeight="1">
      <c r="B8" s="2"/>
      <c r="C8" s="48" t="s">
        <v>1</v>
      </c>
      <c r="D8" s="42" t="s">
        <v>110</v>
      </c>
      <c r="E8" s="52">
        <f>'Общая сумма ЗП'!N10</f>
        <v>5074512</v>
      </c>
      <c r="F8" s="3"/>
      <c r="N8" s="12"/>
      <c r="O8" s="12"/>
      <c r="P8" s="12"/>
      <c r="Q8" s="12"/>
      <c r="R8" s="12"/>
      <c r="S8" s="12"/>
    </row>
    <row r="9" spans="2:19" s="8" customFormat="1" ht="49.5" customHeight="1">
      <c r="B9" s="2"/>
      <c r="C9" s="48" t="s">
        <v>2</v>
      </c>
      <c r="D9" s="42" t="s">
        <v>111</v>
      </c>
      <c r="E9" s="52">
        <f>'Общая сумма ЗП'!O10</f>
        <v>5074512</v>
      </c>
      <c r="F9" s="3"/>
      <c r="N9" s="12"/>
      <c r="O9" s="12"/>
      <c r="P9" s="12"/>
      <c r="Q9" s="12"/>
      <c r="R9" s="12"/>
      <c r="S9" s="12"/>
    </row>
    <row r="10" spans="2:19" s="8" customFormat="1" ht="30">
      <c r="B10" s="2"/>
      <c r="C10" s="48" t="s">
        <v>4</v>
      </c>
      <c r="D10" s="42" t="s">
        <v>112</v>
      </c>
      <c r="E10" s="52">
        <f>'Общая сумма ЗП'!P10</f>
        <v>5395914.5</v>
      </c>
      <c r="F10" s="3"/>
      <c r="N10" s="12"/>
      <c r="O10" s="12"/>
      <c r="P10" s="12"/>
      <c r="Q10" s="12"/>
      <c r="R10" s="12"/>
      <c r="S10" s="12"/>
    </row>
    <row r="11" spans="2:6" ht="11.25" thickBot="1">
      <c r="B11" s="4"/>
      <c r="C11" s="23"/>
      <c r="D11" s="23"/>
      <c r="E11" s="23"/>
      <c r="F11" s="24"/>
    </row>
  </sheetData>
  <sheetProtection/>
  <mergeCells count="1">
    <mergeCell ref="C3:E3"/>
  </mergeCells>
  <printOptions/>
  <pageMargins left="0.7" right="0.7" top="0.75" bottom="0.75" header="0.3" footer="0.3"/>
  <pageSetup horizontalDpi="300" verticalDpi="300" orientation="portrait" paperSize="9" scale="74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AS12"/>
  <sheetViews>
    <sheetView workbookViewId="0" topLeftCell="A1">
      <selection activeCell="J5" sqref="J5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5" customWidth="1"/>
    <col min="4" max="4" width="9.125" style="15" bestFit="1" customWidth="1"/>
    <col min="5" max="5" width="13.875" style="15" customWidth="1"/>
    <col min="6" max="6" width="14.25390625" style="15" customWidth="1"/>
    <col min="7" max="7" width="12.125" style="15" customWidth="1"/>
    <col min="8" max="8" width="10.875" style="15" customWidth="1"/>
    <col min="9" max="9" width="12.25390625" style="16" customWidth="1"/>
    <col min="10" max="10" width="11.875" style="16" bestFit="1" customWidth="1"/>
    <col min="11" max="11" width="12.25390625" style="16" bestFit="1" customWidth="1"/>
    <col min="12" max="12" width="10.625" style="16" customWidth="1"/>
    <col min="13" max="13" width="3.00390625" style="1" customWidth="1"/>
    <col min="14" max="16" width="2.75390625" style="1" customWidth="1"/>
    <col min="17" max="17" width="6.625" style="1" bestFit="1" customWidth="1"/>
    <col min="18" max="18" width="2.75390625" style="1" customWidth="1"/>
    <col min="19" max="19" width="6.625" style="1" bestFit="1" customWidth="1"/>
    <col min="20" max="21" width="2.75390625" style="1" customWidth="1"/>
    <col min="22" max="26" width="3.25390625" style="1" bestFit="1" customWidth="1"/>
    <col min="27" max="27" width="4.75390625" style="1" bestFit="1" customWidth="1"/>
    <col min="28" max="16384" width="2.75390625" style="1" customWidth="1"/>
  </cols>
  <sheetData>
    <row r="1" spans="2:20" ht="15" customHeight="1" thickBot="1"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2:45" ht="11.25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2:45" ht="18">
      <c r="B3" s="20"/>
      <c r="C3" s="77" t="s">
        <v>46</v>
      </c>
      <c r="D3" s="77"/>
      <c r="E3" s="77"/>
      <c r="F3" s="77"/>
      <c r="G3" s="77"/>
      <c r="H3" s="77"/>
      <c r="I3" s="77"/>
      <c r="J3" s="77"/>
      <c r="K3" s="77"/>
      <c r="L3" s="77"/>
      <c r="M3" s="21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2:45" ht="12.75" customHeight="1">
      <c r="B4" s="20"/>
      <c r="C4" s="7"/>
      <c r="D4" s="7"/>
      <c r="E4" s="7"/>
      <c r="F4" s="7"/>
      <c r="G4" s="7"/>
      <c r="H4" s="7"/>
      <c r="I4" s="7"/>
      <c r="J4" s="7"/>
      <c r="K4" s="7"/>
      <c r="L4" s="7"/>
      <c r="M4" s="21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2:45" ht="63">
      <c r="B5" s="22"/>
      <c r="C5" s="34" t="s">
        <v>0</v>
      </c>
      <c r="D5" s="34" t="s">
        <v>30</v>
      </c>
      <c r="E5" s="35" t="s">
        <v>31</v>
      </c>
      <c r="F5" s="35" t="s">
        <v>32</v>
      </c>
      <c r="G5" s="35" t="s">
        <v>34</v>
      </c>
      <c r="H5" s="35" t="s">
        <v>35</v>
      </c>
      <c r="I5" s="36" t="s">
        <v>36</v>
      </c>
      <c r="J5" s="36" t="s">
        <v>37</v>
      </c>
      <c r="K5" s="36" t="s">
        <v>38</v>
      </c>
      <c r="L5" s="36" t="s">
        <v>39</v>
      </c>
      <c r="M5" s="21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2:27" s="13" customFormat="1" ht="17.25" customHeight="1">
      <c r="B6" s="2"/>
      <c r="C6" s="9" t="s">
        <v>7</v>
      </c>
      <c r="D6" s="10" t="s">
        <v>40</v>
      </c>
      <c r="E6" s="26">
        <v>100</v>
      </c>
      <c r="F6" s="26">
        <v>1200</v>
      </c>
      <c r="G6" s="11">
        <f>E6*F6</f>
        <v>120000</v>
      </c>
      <c r="H6" s="26">
        <v>120</v>
      </c>
      <c r="I6" s="26">
        <v>1198</v>
      </c>
      <c r="J6" s="11">
        <f>H6*I6</f>
        <v>143760</v>
      </c>
      <c r="K6" s="74">
        <f>'Оценка по эл-там затрат'!E16</f>
        <v>105000</v>
      </c>
      <c r="L6" s="74">
        <f>'Оценка по эл-там затрат'!F16</f>
        <v>119580</v>
      </c>
      <c r="M6" s="3"/>
      <c r="V6" s="12"/>
      <c r="W6" s="12"/>
      <c r="X6" s="12"/>
      <c r="Y6" s="12"/>
      <c r="Z6" s="12"/>
      <c r="AA6" s="12"/>
    </row>
    <row r="7" spans="2:27" s="13" customFormat="1" ht="12.75">
      <c r="B7" s="2"/>
      <c r="C7" s="9" t="s">
        <v>3</v>
      </c>
      <c r="D7" s="10" t="s">
        <v>41</v>
      </c>
      <c r="E7" s="26">
        <v>100</v>
      </c>
      <c r="F7" s="26">
        <v>1800</v>
      </c>
      <c r="G7" s="11">
        <f>E7*F7</f>
        <v>180000</v>
      </c>
      <c r="H7" s="26">
        <v>98</v>
      </c>
      <c r="I7" s="26">
        <v>1840</v>
      </c>
      <c r="J7" s="11">
        <f>H7*I7</f>
        <v>180320</v>
      </c>
      <c r="K7" s="75"/>
      <c r="L7" s="75"/>
      <c r="M7" s="3"/>
      <c r="V7" s="12"/>
      <c r="W7" s="12"/>
      <c r="X7" s="12"/>
      <c r="Y7" s="12"/>
      <c r="Z7" s="12"/>
      <c r="AA7" s="12"/>
    </row>
    <row r="8" spans="2:27" s="8" customFormat="1" ht="12.75">
      <c r="B8" s="2"/>
      <c r="C8" s="9" t="s">
        <v>1</v>
      </c>
      <c r="D8" s="10" t="s">
        <v>42</v>
      </c>
      <c r="E8" s="26">
        <v>100</v>
      </c>
      <c r="F8" s="26">
        <v>2300</v>
      </c>
      <c r="G8" s="11">
        <f>E8*F8</f>
        <v>230000</v>
      </c>
      <c r="H8" s="26">
        <v>101</v>
      </c>
      <c r="I8" s="26">
        <v>2270</v>
      </c>
      <c r="J8" s="11">
        <f>H8*I8</f>
        <v>229270</v>
      </c>
      <c r="K8" s="75"/>
      <c r="L8" s="75"/>
      <c r="M8" s="3"/>
      <c r="V8" s="12"/>
      <c r="W8" s="12"/>
      <c r="X8" s="12"/>
      <c r="Y8" s="12"/>
      <c r="Z8" s="12"/>
      <c r="AA8" s="12"/>
    </row>
    <row r="9" spans="2:27" s="8" customFormat="1" ht="12.75">
      <c r="B9" s="2"/>
      <c r="C9" s="9" t="s">
        <v>2</v>
      </c>
      <c r="D9" s="10" t="s">
        <v>44</v>
      </c>
      <c r="E9" s="26">
        <v>1000</v>
      </c>
      <c r="F9" s="26">
        <v>400</v>
      </c>
      <c r="G9" s="11">
        <f>E9*F9</f>
        <v>400000</v>
      </c>
      <c r="H9" s="26">
        <v>1140</v>
      </c>
      <c r="I9" s="26">
        <v>370</v>
      </c>
      <c r="J9" s="11">
        <f>H9*I9</f>
        <v>421800</v>
      </c>
      <c r="K9" s="75"/>
      <c r="L9" s="75"/>
      <c r="M9" s="3"/>
      <c r="V9" s="12"/>
      <c r="W9" s="12"/>
      <c r="X9" s="12"/>
      <c r="Y9" s="12"/>
      <c r="Z9" s="12"/>
      <c r="AA9" s="12"/>
    </row>
    <row r="10" spans="2:27" s="27" customFormat="1" ht="12.75">
      <c r="B10" s="28"/>
      <c r="C10" s="29" t="s">
        <v>4</v>
      </c>
      <c r="D10" s="25" t="s">
        <v>43</v>
      </c>
      <c r="E10" s="26" t="s">
        <v>45</v>
      </c>
      <c r="F10" s="26" t="s">
        <v>45</v>
      </c>
      <c r="G10" s="33">
        <f>SUM(G6:G9)</f>
        <v>930000</v>
      </c>
      <c r="H10" s="26" t="s">
        <v>45</v>
      </c>
      <c r="I10" s="26" t="s">
        <v>45</v>
      </c>
      <c r="J10" s="33">
        <f>SUM(J6:J9)</f>
        <v>975150</v>
      </c>
      <c r="K10" s="76"/>
      <c r="L10" s="76"/>
      <c r="M10" s="30"/>
      <c r="V10" s="31"/>
      <c r="W10" s="31"/>
      <c r="X10" s="31"/>
      <c r="Y10" s="31"/>
      <c r="Z10" s="31"/>
      <c r="AA10" s="31"/>
    </row>
    <row r="11" spans="2:13" ht="11.25" thickBot="1">
      <c r="B11" s="4"/>
      <c r="C11" s="23"/>
      <c r="D11" s="23"/>
      <c r="E11" s="23"/>
      <c r="F11" s="23"/>
      <c r="G11" s="37"/>
      <c r="H11" s="23"/>
      <c r="I11" s="23"/>
      <c r="J11" s="23"/>
      <c r="K11" s="23"/>
      <c r="L11" s="23"/>
      <c r="M11" s="24"/>
    </row>
    <row r="12" spans="3:11" ht="12" customHeight="1"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3">
    <mergeCell ref="K6:K10"/>
    <mergeCell ref="L6:L10"/>
    <mergeCell ref="C3:L3"/>
  </mergeCells>
  <printOptions/>
  <pageMargins left="0.7" right="0.7" top="0.75" bottom="0.75" header="0.3" footer="0.3"/>
  <pageSetup horizontalDpi="300" verticalDpi="300" orientation="portrait" paperSize="9" scale="74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3" min="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B1:AL11"/>
  <sheetViews>
    <sheetView workbookViewId="0" topLeftCell="A1">
      <selection activeCell="D7" sqref="D7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5" customWidth="1"/>
    <col min="4" max="4" width="66.00390625" style="15" customWidth="1"/>
    <col min="5" max="5" width="35.00390625" style="15" customWidth="1"/>
    <col min="6" max="6" width="3.00390625" style="1" customWidth="1"/>
    <col min="7" max="9" width="2.75390625" style="1" customWidth="1"/>
    <col min="10" max="10" width="6.625" style="1" bestFit="1" customWidth="1"/>
    <col min="11" max="11" width="2.75390625" style="1" customWidth="1"/>
    <col min="12" max="12" width="6.625" style="1" bestFit="1" customWidth="1"/>
    <col min="13" max="14" width="2.75390625" style="1" customWidth="1"/>
    <col min="15" max="19" width="3.25390625" style="1" bestFit="1" customWidth="1"/>
    <col min="20" max="20" width="4.75390625" style="1" bestFit="1" customWidth="1"/>
    <col min="21" max="16384" width="2.75390625" style="1" customWidth="1"/>
  </cols>
  <sheetData>
    <row r="1" spans="2:13" ht="15" customHeight="1" thickBot="1"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38" ht="11.25" customHeight="1">
      <c r="B2" s="17"/>
      <c r="C2" s="18"/>
      <c r="D2" s="18"/>
      <c r="E2" s="18"/>
      <c r="F2" s="19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2:38" ht="18">
      <c r="B3" s="20"/>
      <c r="C3" s="71" t="s">
        <v>47</v>
      </c>
      <c r="D3" s="71"/>
      <c r="E3" s="71"/>
      <c r="F3" s="21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2:38" ht="12.75" customHeight="1">
      <c r="B4" s="20"/>
      <c r="C4" s="46"/>
      <c r="D4" s="46"/>
      <c r="E4" s="46"/>
      <c r="F4" s="21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ht="30">
      <c r="B5" s="22"/>
      <c r="C5" s="47" t="s">
        <v>0</v>
      </c>
      <c r="D5" s="47" t="s">
        <v>48</v>
      </c>
      <c r="E5" s="47" t="s">
        <v>49</v>
      </c>
      <c r="F5" s="21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2:20" s="13" customFormat="1" ht="19.5" customHeight="1">
      <c r="B6" s="2"/>
      <c r="C6" s="48" t="s">
        <v>7</v>
      </c>
      <c r="D6" s="42" t="s">
        <v>50</v>
      </c>
      <c r="E6" s="43">
        <f>'Оценка по эл-там затрат'!E14</f>
        <v>225000</v>
      </c>
      <c r="F6" s="3"/>
      <c r="O6" s="12"/>
      <c r="P6" s="12"/>
      <c r="Q6" s="12"/>
      <c r="R6" s="12"/>
      <c r="S6" s="12"/>
      <c r="T6" s="12"/>
    </row>
    <row r="7" spans="2:20" s="13" customFormat="1" ht="35.25" customHeight="1">
      <c r="B7" s="2"/>
      <c r="C7" s="48" t="s">
        <v>3</v>
      </c>
      <c r="D7" s="42" t="s">
        <v>51</v>
      </c>
      <c r="E7" s="44">
        <f>'Оценка по эл-там затрат'!E15*'Расчет затрат'!K6+'Оценка по эл-там затрат'!E16</f>
        <v>227814.71999999997</v>
      </c>
      <c r="F7" s="3"/>
      <c r="O7" s="12"/>
      <c r="P7" s="12"/>
      <c r="Q7" s="12"/>
      <c r="R7" s="12"/>
      <c r="S7" s="12"/>
      <c r="T7" s="12"/>
    </row>
    <row r="8" spans="2:20" s="8" customFormat="1" ht="25.5" customHeight="1">
      <c r="B8" s="2"/>
      <c r="C8" s="48" t="s">
        <v>1</v>
      </c>
      <c r="D8" s="42" t="s">
        <v>52</v>
      </c>
      <c r="E8" s="43">
        <f>'Факторный а-з себ-сти'!H6*'Факторный а-з себ-сти'!F6+'Факторный а-з себ-сти'!H7*'Факторный а-з себ-сти'!F7+'Факторный а-з себ-сти'!H8*'Факторный а-з себ-сти'!F8+'Факторный а-з себ-сти'!H9*'Факторный а-з себ-сти'!F9+'Оценка по эл-там затрат'!E16</f>
        <v>1113700</v>
      </c>
      <c r="F8" s="3"/>
      <c r="O8" s="12"/>
      <c r="P8" s="12"/>
      <c r="Q8" s="12"/>
      <c r="R8" s="12"/>
      <c r="S8" s="12"/>
      <c r="T8" s="12"/>
    </row>
    <row r="9" spans="2:20" s="8" customFormat="1" ht="42.75" customHeight="1">
      <c r="B9" s="2"/>
      <c r="C9" s="48" t="s">
        <v>2</v>
      </c>
      <c r="D9" s="42" t="s">
        <v>67</v>
      </c>
      <c r="E9" s="43">
        <f>'Оценка по эл-там затрат'!F15+'Оценка по эл-там затрат'!E16</f>
        <v>224500</v>
      </c>
      <c r="F9" s="3"/>
      <c r="O9" s="12"/>
      <c r="P9" s="12"/>
      <c r="Q9" s="12"/>
      <c r="R9" s="12"/>
      <c r="S9" s="12"/>
      <c r="T9" s="12"/>
    </row>
    <row r="10" spans="2:20" s="27" customFormat="1" ht="15">
      <c r="B10" s="28"/>
      <c r="C10" s="48" t="s">
        <v>4</v>
      </c>
      <c r="D10" s="42" t="s">
        <v>53</v>
      </c>
      <c r="E10" s="43">
        <f>'Оценка по эл-там затрат'!F14</f>
        <v>239080</v>
      </c>
      <c r="F10" s="30"/>
      <c r="O10" s="31"/>
      <c r="P10" s="31"/>
      <c r="Q10" s="31"/>
      <c r="R10" s="31"/>
      <c r="S10" s="31"/>
      <c r="T10" s="31"/>
    </row>
    <row r="11" spans="2:6" ht="15.75" thickBot="1">
      <c r="B11" s="4"/>
      <c r="C11" s="23"/>
      <c r="D11" s="45"/>
      <c r="E11" s="45"/>
      <c r="F11" s="24"/>
    </row>
  </sheetData>
  <sheetProtection/>
  <mergeCells count="1">
    <mergeCell ref="C3:E3"/>
  </mergeCells>
  <printOptions/>
  <pageMargins left="0.7" right="0.7" top="0.75" bottom="0.75" header="0.3" footer="0.3"/>
  <pageSetup horizontalDpi="300" verticalDpi="300" orientation="portrait" paperSize="9" scale="74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" min="1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AU11"/>
  <sheetViews>
    <sheetView tabSelected="1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5" customWidth="1"/>
    <col min="4" max="4" width="9.125" style="15" bestFit="1" customWidth="1"/>
    <col min="5" max="5" width="10.75390625" style="15" customWidth="1"/>
    <col min="6" max="6" width="13.875" style="15" customWidth="1"/>
    <col min="7" max="7" width="11.875" style="15" bestFit="1" customWidth="1"/>
    <col min="8" max="8" width="13.125" style="15" bestFit="1" customWidth="1"/>
    <col min="9" max="10" width="10.875" style="15" customWidth="1"/>
    <col min="11" max="11" width="11.875" style="15" bestFit="1" customWidth="1"/>
    <col min="12" max="12" width="12.25390625" style="16" customWidth="1"/>
    <col min="13" max="13" width="10.875" style="16" customWidth="1"/>
    <col min="14" max="14" width="12.25390625" style="16" bestFit="1" customWidth="1"/>
    <col min="15" max="15" width="3.00390625" style="1" customWidth="1"/>
    <col min="16" max="18" width="2.75390625" style="1" customWidth="1"/>
    <col min="19" max="19" width="6.625" style="1" bestFit="1" customWidth="1"/>
    <col min="20" max="20" width="2.75390625" style="1" customWidth="1"/>
    <col min="21" max="21" width="6.625" style="1" bestFit="1" customWidth="1"/>
    <col min="22" max="23" width="2.75390625" style="1" customWidth="1"/>
    <col min="24" max="28" width="3.25390625" style="1" bestFit="1" customWidth="1"/>
    <col min="29" max="29" width="4.75390625" style="1" bestFit="1" customWidth="1"/>
    <col min="30" max="16384" width="2.75390625" style="1" customWidth="1"/>
  </cols>
  <sheetData>
    <row r="1" spans="2:22" ht="15" customHeight="1" thickBot="1"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2:47" ht="11.25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2:47" ht="18">
      <c r="B3" s="20"/>
      <c r="C3" s="77" t="s">
        <v>54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21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2:47" ht="12.75" customHeight="1">
      <c r="B4" s="2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1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2:47" ht="63">
      <c r="B5" s="22"/>
      <c r="C5" s="34" t="s">
        <v>0</v>
      </c>
      <c r="D5" s="34" t="s">
        <v>30</v>
      </c>
      <c r="E5" s="34" t="s">
        <v>31</v>
      </c>
      <c r="F5" s="35" t="s">
        <v>55</v>
      </c>
      <c r="G5" s="35" t="s">
        <v>58</v>
      </c>
      <c r="H5" s="35" t="s">
        <v>56</v>
      </c>
      <c r="I5" s="35" t="s">
        <v>35</v>
      </c>
      <c r="J5" s="35" t="s">
        <v>57</v>
      </c>
      <c r="K5" s="35" t="s">
        <v>59</v>
      </c>
      <c r="L5" s="36" t="s">
        <v>60</v>
      </c>
      <c r="M5" s="36" t="s">
        <v>61</v>
      </c>
      <c r="N5" s="36" t="s">
        <v>70</v>
      </c>
      <c r="O5" s="21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2:29" s="13" customFormat="1" ht="17.25" customHeight="1">
      <c r="B6" s="2"/>
      <c r="C6" s="9" t="s">
        <v>7</v>
      </c>
      <c r="D6" s="39" t="str">
        <f>'Факторный а-з себ-сти'!D6</f>
        <v>Модель-1</v>
      </c>
      <c r="E6" s="11">
        <f>'Факторный а-з себ-сти'!E6</f>
        <v>100</v>
      </c>
      <c r="F6" s="26">
        <v>1300</v>
      </c>
      <c r="G6" s="11">
        <f>E6*F6</f>
        <v>130000</v>
      </c>
      <c r="H6" s="14">
        <f>E6/$E$10</f>
        <v>0.07692307692307693</v>
      </c>
      <c r="I6" s="11">
        <f>'Факторный а-з себ-сти'!H6</f>
        <v>120</v>
      </c>
      <c r="J6" s="26">
        <v>1320</v>
      </c>
      <c r="K6" s="11">
        <f>I6*J6</f>
        <v>158400</v>
      </c>
      <c r="L6" s="11">
        <f>$I$10*H6</f>
        <v>112.23076923076924</v>
      </c>
      <c r="M6" s="11">
        <f>L6*F6</f>
        <v>145900</v>
      </c>
      <c r="N6" s="11">
        <f>I6*F6</f>
        <v>156000</v>
      </c>
      <c r="O6" s="3"/>
      <c r="X6" s="12"/>
      <c r="Y6" s="12"/>
      <c r="Z6" s="12"/>
      <c r="AA6" s="12"/>
      <c r="AB6" s="12"/>
      <c r="AC6" s="12"/>
    </row>
    <row r="7" spans="2:29" s="13" customFormat="1" ht="12.75">
      <c r="B7" s="2"/>
      <c r="C7" s="9" t="s">
        <v>3</v>
      </c>
      <c r="D7" s="39" t="str">
        <f>'Факторный а-з себ-сти'!D7</f>
        <v>Модель-2</v>
      </c>
      <c r="E7" s="11">
        <f>'Факторный а-з себ-сти'!E7</f>
        <v>100</v>
      </c>
      <c r="F7" s="26">
        <v>1400</v>
      </c>
      <c r="G7" s="11">
        <f>E7*F7</f>
        <v>140000</v>
      </c>
      <c r="H7" s="14">
        <f>E7/$E$10</f>
        <v>0.07692307692307693</v>
      </c>
      <c r="I7" s="11">
        <f>'Факторный а-з себ-сти'!H7</f>
        <v>98</v>
      </c>
      <c r="J7" s="26">
        <v>1380</v>
      </c>
      <c r="K7" s="11">
        <f>I7*J7</f>
        <v>135240</v>
      </c>
      <c r="L7" s="11">
        <f>$I$10*H7</f>
        <v>112.23076923076924</v>
      </c>
      <c r="M7" s="11">
        <f>L7*F7</f>
        <v>157123.07692307694</v>
      </c>
      <c r="N7" s="11">
        <f>I7*F7</f>
        <v>137200</v>
      </c>
      <c r="O7" s="3"/>
      <c r="X7" s="12"/>
      <c r="Y7" s="12"/>
      <c r="Z7" s="12"/>
      <c r="AA7" s="12"/>
      <c r="AB7" s="12"/>
      <c r="AC7" s="12"/>
    </row>
    <row r="8" spans="2:29" s="8" customFormat="1" ht="12.75">
      <c r="B8" s="2"/>
      <c r="C8" s="9" t="s">
        <v>1</v>
      </c>
      <c r="D8" s="39" t="str">
        <f>'Факторный а-з себ-сти'!D8</f>
        <v>Модель-3</v>
      </c>
      <c r="E8" s="11">
        <f>'Факторный а-з себ-сти'!E8</f>
        <v>100</v>
      </c>
      <c r="F8" s="26">
        <v>1500</v>
      </c>
      <c r="G8" s="11">
        <f>E8*F8</f>
        <v>150000</v>
      </c>
      <c r="H8" s="14">
        <f>E8/$E$10</f>
        <v>0.07692307692307693</v>
      </c>
      <c r="I8" s="11">
        <f>'Факторный а-з себ-сти'!H8</f>
        <v>101</v>
      </c>
      <c r="J8" s="26">
        <v>1510</v>
      </c>
      <c r="K8" s="11">
        <f>I8*J8</f>
        <v>152510</v>
      </c>
      <c r="L8" s="11">
        <f>$I$10*H8</f>
        <v>112.23076923076924</v>
      </c>
      <c r="M8" s="11">
        <f>L8*F8</f>
        <v>168346.15384615387</v>
      </c>
      <c r="N8" s="11">
        <f>I8*F8</f>
        <v>151500</v>
      </c>
      <c r="O8" s="3"/>
      <c r="X8" s="12"/>
      <c r="Y8" s="12"/>
      <c r="Z8" s="12"/>
      <c r="AA8" s="12"/>
      <c r="AB8" s="12"/>
      <c r="AC8" s="12"/>
    </row>
    <row r="9" spans="2:29" s="8" customFormat="1" ht="12.75">
      <c r="B9" s="2"/>
      <c r="C9" s="9" t="s">
        <v>2</v>
      </c>
      <c r="D9" s="39" t="str">
        <f>'Факторный а-з себ-сти'!D9</f>
        <v>Модель-5</v>
      </c>
      <c r="E9" s="11">
        <f>'Факторный а-з себ-сти'!E9</f>
        <v>1000</v>
      </c>
      <c r="F9" s="26">
        <v>280</v>
      </c>
      <c r="G9" s="11">
        <f>E9*F9</f>
        <v>280000</v>
      </c>
      <c r="H9" s="14">
        <f>E9/$E$10</f>
        <v>0.7692307692307693</v>
      </c>
      <c r="I9" s="11">
        <f>'Факторный а-з себ-сти'!H9</f>
        <v>1140</v>
      </c>
      <c r="J9" s="26">
        <v>277</v>
      </c>
      <c r="K9" s="11">
        <f>I9*J9</f>
        <v>315780</v>
      </c>
      <c r="L9" s="11">
        <f>$I$10*H9</f>
        <v>1122.3076923076924</v>
      </c>
      <c r="M9" s="11">
        <f>L9*F9</f>
        <v>314246.1538461539</v>
      </c>
      <c r="N9" s="11">
        <f>I9*F9</f>
        <v>319200</v>
      </c>
      <c r="O9" s="3"/>
      <c r="X9" s="12"/>
      <c r="Y9" s="12"/>
      <c r="Z9" s="12"/>
      <c r="AA9" s="12"/>
      <c r="AB9" s="12"/>
      <c r="AC9" s="12"/>
    </row>
    <row r="10" spans="2:29" s="27" customFormat="1" ht="12.75">
      <c r="B10" s="28"/>
      <c r="C10" s="29" t="s">
        <v>4</v>
      </c>
      <c r="D10" s="25" t="s">
        <v>43</v>
      </c>
      <c r="E10" s="33">
        <f>SUM(E6:E9)</f>
        <v>1300</v>
      </c>
      <c r="F10" s="26" t="s">
        <v>45</v>
      </c>
      <c r="G10" s="33">
        <f>SUM(G6:G9)</f>
        <v>700000</v>
      </c>
      <c r="H10" s="32">
        <f>SUM(H6:H9)</f>
        <v>1</v>
      </c>
      <c r="I10" s="33">
        <f>SUM(I6:I9)</f>
        <v>1459</v>
      </c>
      <c r="J10" s="26" t="s">
        <v>45</v>
      </c>
      <c r="K10" s="33">
        <f>SUM(K6:K9)</f>
        <v>761930</v>
      </c>
      <c r="L10" s="33">
        <f>SUM(L6:L9)</f>
        <v>1459</v>
      </c>
      <c r="M10" s="33">
        <f>SUM(M6:M9)</f>
        <v>785615.3846153847</v>
      </c>
      <c r="N10" s="33">
        <f>SUM(N6:N9)</f>
        <v>763900</v>
      </c>
      <c r="O10" s="30"/>
      <c r="X10" s="31"/>
      <c r="Y10" s="31"/>
      <c r="Z10" s="31"/>
      <c r="AA10" s="31"/>
      <c r="AB10" s="31"/>
      <c r="AC10" s="31"/>
    </row>
    <row r="11" spans="2:15" ht="11.25" thickBot="1">
      <c r="B11" s="4"/>
      <c r="C11" s="23"/>
      <c r="D11" s="23"/>
      <c r="E11" s="23"/>
      <c r="F11" s="23"/>
      <c r="G11" s="23"/>
      <c r="H11" s="37"/>
      <c r="I11" s="23"/>
      <c r="J11" s="23"/>
      <c r="K11" s="23"/>
      <c r="L11" s="23"/>
      <c r="M11" s="23"/>
      <c r="N11" s="23"/>
      <c r="O11" s="24"/>
    </row>
  </sheetData>
  <sheetProtection/>
  <mergeCells count="1">
    <mergeCell ref="C3:N3"/>
  </mergeCells>
  <printOptions/>
  <pageMargins left="0.7" right="0.7" top="0.75" bottom="0.75" header="0.3" footer="0.3"/>
  <pageSetup horizontalDpi="300" verticalDpi="300" orientation="portrait" paperSize="9" scale="64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5" min="1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1:AK12"/>
  <sheetViews>
    <sheetView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5" customWidth="1"/>
    <col min="4" max="4" width="71.125" style="15" customWidth="1"/>
    <col min="5" max="5" width="35.00390625" style="15" customWidth="1"/>
    <col min="6" max="6" width="3.00390625" style="1" customWidth="1"/>
    <col min="7" max="8" width="2.75390625" style="1" customWidth="1"/>
    <col min="9" max="9" width="6.625" style="1" bestFit="1" customWidth="1"/>
    <col min="10" max="10" width="2.75390625" style="1" customWidth="1"/>
    <col min="11" max="11" width="6.625" style="1" bestFit="1" customWidth="1"/>
    <col min="12" max="13" width="2.75390625" style="1" customWidth="1"/>
    <col min="14" max="18" width="3.25390625" style="1" bestFit="1" customWidth="1"/>
    <col min="19" max="19" width="4.75390625" style="1" bestFit="1" customWidth="1"/>
    <col min="20" max="16384" width="2.75390625" style="1" customWidth="1"/>
  </cols>
  <sheetData>
    <row r="1" spans="2:12" ht="15" customHeight="1" thickBot="1"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37" ht="11.25" customHeight="1">
      <c r="B2" s="17"/>
      <c r="C2" s="18"/>
      <c r="D2" s="18"/>
      <c r="E2" s="18"/>
      <c r="F2" s="1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2:37" ht="18">
      <c r="B3" s="20"/>
      <c r="C3" s="71" t="s">
        <v>62</v>
      </c>
      <c r="D3" s="71"/>
      <c r="E3" s="71"/>
      <c r="F3" s="21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7" ht="12.75" customHeight="1">
      <c r="B4" s="20"/>
      <c r="C4" s="7"/>
      <c r="D4" s="7"/>
      <c r="E4" s="7"/>
      <c r="F4" s="2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2:37" ht="28.5">
      <c r="B5" s="22"/>
      <c r="C5" s="49" t="s">
        <v>0</v>
      </c>
      <c r="D5" s="49" t="s">
        <v>63</v>
      </c>
      <c r="E5" s="49" t="s">
        <v>64</v>
      </c>
      <c r="F5" s="21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2:19" s="13" customFormat="1" ht="14.25">
      <c r="B6" s="2"/>
      <c r="C6" s="50" t="s">
        <v>7</v>
      </c>
      <c r="D6" s="41" t="s">
        <v>10</v>
      </c>
      <c r="E6" s="51">
        <f>ROUND('Себ-сть при разл. условиях'!E6/'Ст-ть продукции при разл. усл.'!G10,3)</f>
        <v>0.321</v>
      </c>
      <c r="F6" s="3"/>
      <c r="N6" s="12"/>
      <c r="O6" s="12"/>
      <c r="P6" s="12"/>
      <c r="Q6" s="12"/>
      <c r="R6" s="12"/>
      <c r="S6" s="12"/>
    </row>
    <row r="7" spans="2:19" s="13" customFormat="1" ht="28.5">
      <c r="B7" s="2"/>
      <c r="C7" s="50" t="s">
        <v>3</v>
      </c>
      <c r="D7" s="41" t="s">
        <v>65</v>
      </c>
      <c r="E7" s="51">
        <f>ROUND('Себ-сть при разл. условиях'!E7/'Ст-ть продукции при разл. усл.'!M10,3)</f>
        <v>0.29</v>
      </c>
      <c r="F7" s="3"/>
      <c r="N7" s="12"/>
      <c r="O7" s="12"/>
      <c r="P7" s="12"/>
      <c r="Q7" s="12"/>
      <c r="R7" s="12"/>
      <c r="S7" s="12"/>
    </row>
    <row r="8" spans="2:19" s="8" customFormat="1" ht="28.5">
      <c r="B8" s="2"/>
      <c r="C8" s="50" t="s">
        <v>1</v>
      </c>
      <c r="D8" s="41" t="s">
        <v>66</v>
      </c>
      <c r="E8" s="51">
        <f>ROUND('Себ-сть при разл. условиях'!E8/'Ст-ть продукции при разл. усл.'!N10,3)</f>
        <v>1.458</v>
      </c>
      <c r="F8" s="3"/>
      <c r="N8" s="12"/>
      <c r="O8" s="12"/>
      <c r="P8" s="12"/>
      <c r="Q8" s="12"/>
      <c r="R8" s="12"/>
      <c r="S8" s="12"/>
    </row>
    <row r="9" spans="2:19" s="8" customFormat="1" ht="28.5">
      <c r="B9" s="2"/>
      <c r="C9" s="50" t="s">
        <v>2</v>
      </c>
      <c r="D9" s="41" t="s">
        <v>68</v>
      </c>
      <c r="E9" s="51">
        <f>ROUND('Себ-сть при разл. условиях'!E9/'Ст-ть продукции при разл. усл.'!K10,3)</f>
        <v>0.295</v>
      </c>
      <c r="F9" s="3"/>
      <c r="N9" s="12"/>
      <c r="O9" s="12"/>
      <c r="P9" s="12"/>
      <c r="Q9" s="12"/>
      <c r="R9" s="12"/>
      <c r="S9" s="12"/>
    </row>
    <row r="10" spans="2:19" s="8" customFormat="1" ht="28.5">
      <c r="B10" s="2"/>
      <c r="C10" s="50" t="s">
        <v>4</v>
      </c>
      <c r="D10" s="41" t="s">
        <v>69</v>
      </c>
      <c r="E10" s="51">
        <f>'Себ-сть при разл. условиях'!E10/'Ст-ть продукции при разл. усл.'!N10</f>
        <v>0.3129729022123315</v>
      </c>
      <c r="F10" s="3"/>
      <c r="N10" s="12"/>
      <c r="O10" s="12"/>
      <c r="P10" s="12"/>
      <c r="Q10" s="12"/>
      <c r="R10" s="12"/>
      <c r="S10" s="12"/>
    </row>
    <row r="11" spans="2:19" s="27" customFormat="1" ht="14.25">
      <c r="B11" s="28"/>
      <c r="C11" s="50" t="s">
        <v>5</v>
      </c>
      <c r="D11" s="41" t="s">
        <v>11</v>
      </c>
      <c r="E11" s="51">
        <f>'Себ-сть при разл. условиях'!E10/'Ст-ть продукции при разл. усл.'!K10</f>
        <v>0.3137821059677398</v>
      </c>
      <c r="F11" s="30"/>
      <c r="N11" s="31"/>
      <c r="O11" s="31"/>
      <c r="P11" s="31"/>
      <c r="Q11" s="31"/>
      <c r="R11" s="31"/>
      <c r="S11" s="31"/>
    </row>
    <row r="12" spans="2:6" ht="11.25" thickBot="1">
      <c r="B12" s="4"/>
      <c r="C12" s="23"/>
      <c r="D12" s="23"/>
      <c r="E12" s="23"/>
      <c r="F12" s="24"/>
    </row>
  </sheetData>
  <sheetProtection/>
  <mergeCells count="1">
    <mergeCell ref="C3:E3"/>
  </mergeCells>
  <printOptions/>
  <pageMargins left="0.7" right="0.7" top="0.75" bottom="0.75" header="0.3" footer="0.3"/>
  <pageSetup horizontalDpi="300" verticalDpi="300" orientation="portrait" paperSize="9" scale="74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" min="1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B1:AV11"/>
  <sheetViews>
    <sheetView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5" customWidth="1"/>
    <col min="4" max="4" width="9.125" style="15" bestFit="1" customWidth="1"/>
    <col min="5" max="5" width="9.375" style="15" bestFit="1" customWidth="1"/>
    <col min="6" max="6" width="13.25390625" style="15" bestFit="1" customWidth="1"/>
    <col min="7" max="7" width="13.125" style="15" bestFit="1" customWidth="1"/>
    <col min="8" max="8" width="10.25390625" style="15" bestFit="1" customWidth="1"/>
    <col min="9" max="9" width="10.625" style="15" bestFit="1" customWidth="1"/>
    <col min="10" max="10" width="14.25390625" style="15" bestFit="1" customWidth="1"/>
    <col min="11" max="11" width="11.00390625" style="15" bestFit="1" customWidth="1"/>
    <col min="12" max="12" width="19.125" style="15" customWidth="1"/>
    <col min="13" max="13" width="16.125" style="15" customWidth="1"/>
    <col min="14" max="14" width="19.125" style="15" customWidth="1"/>
    <col min="15" max="15" width="21.625" style="15" customWidth="1"/>
    <col min="16" max="16" width="3.00390625" style="1" customWidth="1"/>
    <col min="17" max="19" width="2.75390625" style="1" customWidth="1"/>
    <col min="20" max="20" width="6.625" style="1" bestFit="1" customWidth="1"/>
    <col min="21" max="21" width="2.75390625" style="1" customWidth="1"/>
    <col min="22" max="22" width="6.625" style="1" bestFit="1" customWidth="1"/>
    <col min="23" max="24" width="2.75390625" style="1" customWidth="1"/>
    <col min="25" max="29" width="3.25390625" style="1" bestFit="1" customWidth="1"/>
    <col min="30" max="30" width="4.75390625" style="1" bestFit="1" customWidth="1"/>
    <col min="31" max="16384" width="2.75390625" style="1" customWidth="1"/>
  </cols>
  <sheetData>
    <row r="1" spans="2:23" ht="15" customHeight="1" thickBot="1"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2:48" ht="11.25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2:48" ht="18">
      <c r="B3" s="20"/>
      <c r="C3" s="77" t="s">
        <v>113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1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2:48" ht="12.75" customHeight="1">
      <c r="B4" s="2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21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2:48" ht="94.5">
      <c r="B5" s="22"/>
      <c r="C5" s="34" t="s">
        <v>0</v>
      </c>
      <c r="D5" s="34" t="s">
        <v>30</v>
      </c>
      <c r="E5" s="34" t="s">
        <v>71</v>
      </c>
      <c r="F5" s="35" t="s">
        <v>72</v>
      </c>
      <c r="G5" s="35" t="s">
        <v>73</v>
      </c>
      <c r="H5" s="35" t="s">
        <v>35</v>
      </c>
      <c r="I5" s="35" t="s">
        <v>74</v>
      </c>
      <c r="J5" s="35" t="s">
        <v>75</v>
      </c>
      <c r="K5" s="35" t="s">
        <v>76</v>
      </c>
      <c r="L5" s="35" t="s">
        <v>77</v>
      </c>
      <c r="M5" s="35" t="s">
        <v>78</v>
      </c>
      <c r="N5" s="35" t="s">
        <v>79</v>
      </c>
      <c r="O5" s="38" t="s">
        <v>80</v>
      </c>
      <c r="P5" s="21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2:30" s="13" customFormat="1" ht="17.25" customHeight="1">
      <c r="B6" s="2"/>
      <c r="C6" s="9" t="s">
        <v>7</v>
      </c>
      <c r="D6" s="11" t="str">
        <f>'Факторный а-з себ-сти'!D6</f>
        <v>Модель-1</v>
      </c>
      <c r="E6" s="26">
        <v>500</v>
      </c>
      <c r="F6" s="26">
        <v>1000</v>
      </c>
      <c r="G6" s="11">
        <f>E6*F6</f>
        <v>500000</v>
      </c>
      <c r="H6" s="26">
        <v>489</v>
      </c>
      <c r="I6" s="26">
        <v>1010</v>
      </c>
      <c r="J6" s="11">
        <f>H6*I6</f>
        <v>493890</v>
      </c>
      <c r="K6" s="40">
        <v>1.023456</v>
      </c>
      <c r="L6" s="26">
        <v>980</v>
      </c>
      <c r="M6" s="11">
        <f>G6*K6</f>
        <v>511727.99999999994</v>
      </c>
      <c r="N6" s="11">
        <f>H6*F6</f>
        <v>489000</v>
      </c>
      <c r="O6" s="11">
        <f>H6*L6</f>
        <v>479220</v>
      </c>
      <c r="P6" s="3"/>
      <c r="Y6" s="12"/>
      <c r="Z6" s="12"/>
      <c r="AA6" s="12"/>
      <c r="AB6" s="12"/>
      <c r="AC6" s="12"/>
      <c r="AD6" s="12"/>
    </row>
    <row r="7" spans="2:30" s="13" customFormat="1" ht="12.75">
      <c r="B7" s="2"/>
      <c r="C7" s="9" t="s">
        <v>3</v>
      </c>
      <c r="D7" s="11" t="str">
        <f>'Факторный а-з себ-сти'!D7</f>
        <v>Модель-2</v>
      </c>
      <c r="E7" s="26">
        <v>500</v>
      </c>
      <c r="F7" s="26">
        <v>1100</v>
      </c>
      <c r="G7" s="11">
        <f>E7*F7</f>
        <v>550000</v>
      </c>
      <c r="H7" s="26">
        <v>470</v>
      </c>
      <c r="I7" s="26">
        <v>1069</v>
      </c>
      <c r="J7" s="11">
        <f>H7*I7</f>
        <v>502430</v>
      </c>
      <c r="K7" s="40">
        <v>1.023456</v>
      </c>
      <c r="L7" s="26">
        <v>1120</v>
      </c>
      <c r="M7" s="11">
        <f>G7*K7</f>
        <v>562900.7999999999</v>
      </c>
      <c r="N7" s="11">
        <f>H7*F7</f>
        <v>517000</v>
      </c>
      <c r="O7" s="11">
        <f>H7*L7</f>
        <v>526400</v>
      </c>
      <c r="P7" s="3"/>
      <c r="Y7" s="12"/>
      <c r="Z7" s="12"/>
      <c r="AA7" s="12"/>
      <c r="AB7" s="12"/>
      <c r="AC7" s="12"/>
      <c r="AD7" s="12"/>
    </row>
    <row r="8" spans="2:30" s="8" customFormat="1" ht="12.75">
      <c r="B8" s="2"/>
      <c r="C8" s="9" t="s">
        <v>1</v>
      </c>
      <c r="D8" s="11" t="str">
        <f>'Факторный а-з себ-сти'!D8</f>
        <v>Модель-3</v>
      </c>
      <c r="E8" s="26">
        <v>500</v>
      </c>
      <c r="F8" s="26">
        <v>1200</v>
      </c>
      <c r="G8" s="11">
        <f>E8*F8</f>
        <v>600000</v>
      </c>
      <c r="H8" s="26">
        <v>520</v>
      </c>
      <c r="I8" s="26">
        <v>1189</v>
      </c>
      <c r="J8" s="11">
        <f>H8*I8</f>
        <v>618280</v>
      </c>
      <c r="K8" s="40">
        <v>1.023456</v>
      </c>
      <c r="L8" s="26">
        <v>1190</v>
      </c>
      <c r="M8" s="11">
        <f>G8*K8</f>
        <v>614073.6</v>
      </c>
      <c r="N8" s="11">
        <f>H8*F8</f>
        <v>624000</v>
      </c>
      <c r="O8" s="11">
        <f>H8*L8</f>
        <v>618800</v>
      </c>
      <c r="P8" s="3"/>
      <c r="Y8" s="12"/>
      <c r="Z8" s="12"/>
      <c r="AA8" s="12"/>
      <c r="AB8" s="12"/>
      <c r="AC8" s="12"/>
      <c r="AD8" s="12"/>
    </row>
    <row r="9" spans="2:30" s="8" customFormat="1" ht="12.75">
      <c r="B9" s="2"/>
      <c r="C9" s="9" t="s">
        <v>2</v>
      </c>
      <c r="D9" s="11" t="str">
        <f>'Факторный а-з себ-сти'!D9</f>
        <v>Модель-5</v>
      </c>
      <c r="E9" s="26">
        <v>5000</v>
      </c>
      <c r="F9" s="26">
        <v>250</v>
      </c>
      <c r="G9" s="11">
        <f>E9*F9</f>
        <v>1250000</v>
      </c>
      <c r="H9" s="26">
        <v>5130</v>
      </c>
      <c r="I9" s="26">
        <v>252</v>
      </c>
      <c r="J9" s="11">
        <f>H9*I9</f>
        <v>1292760</v>
      </c>
      <c r="K9" s="40">
        <v>1.023456</v>
      </c>
      <c r="L9" s="26">
        <v>251</v>
      </c>
      <c r="M9" s="11">
        <f>G9*K9</f>
        <v>1279320</v>
      </c>
      <c r="N9" s="11">
        <f>H9*F9</f>
        <v>1282500</v>
      </c>
      <c r="O9" s="11">
        <f>H9*L9</f>
        <v>1287630</v>
      </c>
      <c r="P9" s="3"/>
      <c r="Y9" s="12"/>
      <c r="Z9" s="12"/>
      <c r="AA9" s="12"/>
      <c r="AB9" s="12"/>
      <c r="AC9" s="12"/>
      <c r="AD9" s="12"/>
    </row>
    <row r="10" spans="2:30" s="27" customFormat="1" ht="12.75">
      <c r="B10" s="28"/>
      <c r="C10" s="29" t="s">
        <v>4</v>
      </c>
      <c r="D10" s="25" t="s">
        <v>43</v>
      </c>
      <c r="E10" s="26" t="s">
        <v>45</v>
      </c>
      <c r="F10" s="26" t="s">
        <v>45</v>
      </c>
      <c r="G10" s="33">
        <f>SUM(G6:G9)</f>
        <v>2900000</v>
      </c>
      <c r="H10" s="26" t="s">
        <v>45</v>
      </c>
      <c r="I10" s="26" t="s">
        <v>45</v>
      </c>
      <c r="J10" s="33">
        <f>SUM(J6:J9)</f>
        <v>2907360</v>
      </c>
      <c r="K10" s="26" t="s">
        <v>45</v>
      </c>
      <c r="L10" s="26" t="s">
        <v>45</v>
      </c>
      <c r="M10" s="33">
        <f>SUM(M6:M9)</f>
        <v>2968022.4</v>
      </c>
      <c r="N10" s="33">
        <f>SUM(N6:N9)</f>
        <v>2912500</v>
      </c>
      <c r="O10" s="33">
        <f>SUM(O6:O9)</f>
        <v>2912050</v>
      </c>
      <c r="P10" s="30"/>
      <c r="Y10" s="31"/>
      <c r="Z10" s="31"/>
      <c r="AA10" s="31"/>
      <c r="AB10" s="31"/>
      <c r="AC10" s="31"/>
      <c r="AD10" s="31"/>
    </row>
    <row r="11" spans="2:16" ht="11.25" thickBot="1">
      <c r="B11" s="4"/>
      <c r="C11" s="23"/>
      <c r="D11" s="23"/>
      <c r="E11" s="23"/>
      <c r="F11" s="23"/>
      <c r="G11" s="23"/>
      <c r="H11" s="37"/>
      <c r="I11" s="37"/>
      <c r="J11" s="37"/>
      <c r="K11" s="37"/>
      <c r="L11" s="37"/>
      <c r="M11" s="23"/>
      <c r="N11" s="23"/>
      <c r="O11" s="23"/>
      <c r="P11" s="24"/>
    </row>
  </sheetData>
  <sheetProtection/>
  <mergeCells count="1">
    <mergeCell ref="C3:O3"/>
  </mergeCells>
  <printOptions/>
  <pageMargins left="0.7" right="0.7" top="0.75" bottom="0.75" header="0.3" footer="0.3"/>
  <pageSetup horizontalDpi="300" verticalDpi="300" orientation="landscape" paperSize="9" scale="74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16" min="1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AK11"/>
  <sheetViews>
    <sheetView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5" customWidth="1"/>
    <col min="4" max="4" width="67.875" style="15" customWidth="1"/>
    <col min="5" max="5" width="35.00390625" style="15" customWidth="1"/>
    <col min="6" max="6" width="3.00390625" style="1" customWidth="1"/>
    <col min="7" max="8" width="2.75390625" style="1" customWidth="1"/>
    <col min="9" max="9" width="6.625" style="1" bestFit="1" customWidth="1"/>
    <col min="10" max="10" width="2.75390625" style="1" customWidth="1"/>
    <col min="11" max="11" width="6.625" style="1" bestFit="1" customWidth="1"/>
    <col min="12" max="13" width="2.75390625" style="1" customWidth="1"/>
    <col min="14" max="18" width="3.25390625" style="1" bestFit="1" customWidth="1"/>
    <col min="19" max="19" width="4.75390625" style="1" bestFit="1" customWidth="1"/>
    <col min="20" max="16384" width="2.75390625" style="1" customWidth="1"/>
  </cols>
  <sheetData>
    <row r="1" spans="2:12" ht="15" customHeight="1" thickBot="1"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37" ht="11.25" customHeight="1">
      <c r="B2" s="17"/>
      <c r="C2" s="18"/>
      <c r="D2" s="18"/>
      <c r="E2" s="18"/>
      <c r="F2" s="1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2:37" ht="18">
      <c r="B3" s="20"/>
      <c r="C3" s="71" t="s">
        <v>81</v>
      </c>
      <c r="D3" s="71"/>
      <c r="E3" s="71"/>
      <c r="F3" s="21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7" ht="12.75" customHeight="1">
      <c r="B4" s="20"/>
      <c r="C4" s="7"/>
      <c r="D4" s="7"/>
      <c r="E4" s="7"/>
      <c r="F4" s="2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2:37" ht="30">
      <c r="B5" s="22"/>
      <c r="C5" s="47" t="s">
        <v>0</v>
      </c>
      <c r="D5" s="47" t="s">
        <v>48</v>
      </c>
      <c r="E5" s="47" t="s">
        <v>49</v>
      </c>
      <c r="F5" s="21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2:19" s="13" customFormat="1" ht="20.25" customHeight="1">
      <c r="B6" s="2"/>
      <c r="C6" s="48" t="s">
        <v>7</v>
      </c>
      <c r="D6" s="42" t="s">
        <v>83</v>
      </c>
      <c r="E6" s="52">
        <f>'Расчет затрат'!G10</f>
        <v>2900000</v>
      </c>
      <c r="F6" s="3"/>
      <c r="N6" s="12"/>
      <c r="O6" s="12"/>
      <c r="P6" s="12"/>
      <c r="Q6" s="12"/>
      <c r="R6" s="12"/>
      <c r="S6" s="12"/>
    </row>
    <row r="7" spans="2:19" s="13" customFormat="1" ht="38.25" customHeight="1">
      <c r="B7" s="2"/>
      <c r="C7" s="48" t="s">
        <v>3</v>
      </c>
      <c r="D7" s="42" t="s">
        <v>82</v>
      </c>
      <c r="E7" s="52">
        <f>'Расчет затрат'!M10</f>
        <v>2968022.4</v>
      </c>
      <c r="F7" s="3"/>
      <c r="N7" s="12"/>
      <c r="O7" s="12"/>
      <c r="P7" s="12"/>
      <c r="Q7" s="12"/>
      <c r="R7" s="12"/>
      <c r="S7" s="12"/>
    </row>
    <row r="8" spans="2:19" s="8" customFormat="1" ht="56.25" customHeight="1">
      <c r="B8" s="2"/>
      <c r="C8" s="48" t="s">
        <v>1</v>
      </c>
      <c r="D8" s="42" t="s">
        <v>84</v>
      </c>
      <c r="E8" s="52">
        <f>'Расчет затрат'!N10</f>
        <v>2912500</v>
      </c>
      <c r="F8" s="3"/>
      <c r="N8" s="12"/>
      <c r="O8" s="12"/>
      <c r="P8" s="12"/>
      <c r="Q8" s="12"/>
      <c r="R8" s="12"/>
      <c r="S8" s="12"/>
    </row>
    <row r="9" spans="2:19" s="8" customFormat="1" ht="49.5" customHeight="1">
      <c r="B9" s="2"/>
      <c r="C9" s="48" t="s">
        <v>2</v>
      </c>
      <c r="D9" s="42" t="s">
        <v>85</v>
      </c>
      <c r="E9" s="52">
        <f>'Расчет затрат'!O10</f>
        <v>2912050</v>
      </c>
      <c r="F9" s="3"/>
      <c r="N9" s="12"/>
      <c r="O9" s="12"/>
      <c r="P9" s="12"/>
      <c r="Q9" s="12"/>
      <c r="R9" s="12"/>
      <c r="S9" s="12"/>
    </row>
    <row r="10" spans="2:19" s="8" customFormat="1" ht="20.25" customHeight="1">
      <c r="B10" s="2"/>
      <c r="C10" s="48" t="s">
        <v>4</v>
      </c>
      <c r="D10" s="42" t="s">
        <v>86</v>
      </c>
      <c r="E10" s="52">
        <f>'Расчет затрат'!J10</f>
        <v>2907360</v>
      </c>
      <c r="F10" s="3"/>
      <c r="N10" s="12"/>
      <c r="O10" s="12"/>
      <c r="P10" s="12"/>
      <c r="Q10" s="12"/>
      <c r="R10" s="12"/>
      <c r="S10" s="12"/>
    </row>
    <row r="11" spans="2:6" ht="11.25" thickBot="1">
      <c r="B11" s="4"/>
      <c r="C11" s="23"/>
      <c r="D11" s="23"/>
      <c r="E11" s="23"/>
      <c r="F11" s="24"/>
    </row>
  </sheetData>
  <sheetProtection/>
  <mergeCells count="1">
    <mergeCell ref="C3:E3"/>
  </mergeCells>
  <printOptions/>
  <pageMargins left="0.7" right="0.7" top="0.75" bottom="0.75" header="0.3" footer="0.3"/>
  <pageSetup horizontalDpi="300" verticalDpi="300" orientation="portrait" paperSize="9" scale="74" r:id="rId1"/>
  <headerFooter>
    <oddFooter>&amp;L&amp;"Tahoma,обычный"&amp;6© ИПС ЭКСПЕРТ&amp;C&amp;"Tahoma,обычный"&amp;6(017) 354 78 92, 354 78 76&amp;R&amp;"Tahoma,обычный"&amp;6www.expert.by</oddFooter>
  </headerFooter>
  <colBreaks count="1" manualBreakCount="1">
    <brk id="6" min="1" max="2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AV12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5" customWidth="1"/>
    <col min="4" max="4" width="9.125" style="15" bestFit="1" customWidth="1"/>
    <col min="5" max="5" width="8.25390625" style="15" bestFit="1" customWidth="1"/>
    <col min="6" max="6" width="9.75390625" style="15" bestFit="1" customWidth="1"/>
    <col min="7" max="7" width="11.875" style="15" bestFit="1" customWidth="1"/>
    <col min="8" max="8" width="7.375" style="15" bestFit="1" customWidth="1"/>
    <col min="9" max="9" width="9.75390625" style="15" bestFit="1" customWidth="1"/>
    <col min="10" max="10" width="9.875" style="15" bestFit="1" customWidth="1"/>
    <col min="11" max="11" width="8.125" style="15" bestFit="1" customWidth="1"/>
    <col min="12" max="12" width="9.75390625" style="15" bestFit="1" customWidth="1"/>
    <col min="13" max="13" width="6.625" style="15" bestFit="1" customWidth="1"/>
    <col min="14" max="14" width="11.25390625" style="15" bestFit="1" customWidth="1"/>
    <col min="15" max="15" width="12.125" style="16" bestFit="1" customWidth="1"/>
    <col min="16" max="16" width="3.00390625" style="1" customWidth="1"/>
    <col min="17" max="19" width="2.75390625" style="1" customWidth="1"/>
    <col min="20" max="20" width="6.625" style="1" bestFit="1" customWidth="1"/>
    <col min="21" max="21" width="2.75390625" style="1" customWidth="1"/>
    <col min="22" max="22" width="6.625" style="1" bestFit="1" customWidth="1"/>
    <col min="23" max="24" width="2.75390625" style="1" customWidth="1"/>
    <col min="25" max="29" width="3.25390625" style="1" bestFit="1" customWidth="1"/>
    <col min="30" max="30" width="4.75390625" style="1" bestFit="1" customWidth="1"/>
    <col min="31" max="16384" width="2.75390625" style="1" customWidth="1"/>
  </cols>
  <sheetData>
    <row r="1" spans="2:23" ht="15" customHeight="1" thickBot="1"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2:48" ht="11.25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2:48" ht="18">
      <c r="B3" s="20"/>
      <c r="C3" s="71" t="s">
        <v>87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21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2:48" ht="12.75" customHeight="1">
      <c r="B4" s="2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21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2:48" ht="14.25">
      <c r="B5" s="22"/>
      <c r="C5" s="78" t="s">
        <v>0</v>
      </c>
      <c r="D5" s="78" t="s">
        <v>30</v>
      </c>
      <c r="E5" s="81" t="s">
        <v>91</v>
      </c>
      <c r="F5" s="82"/>
      <c r="G5" s="83"/>
      <c r="H5" s="87" t="s">
        <v>88</v>
      </c>
      <c r="I5" s="88"/>
      <c r="J5" s="89"/>
      <c r="K5" s="93" t="s">
        <v>89</v>
      </c>
      <c r="L5" s="94"/>
      <c r="M5" s="94"/>
      <c r="N5" s="94"/>
      <c r="O5" s="95"/>
      <c r="P5" s="21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2:48" ht="14.25">
      <c r="B6" s="22"/>
      <c r="C6" s="79"/>
      <c r="D6" s="79"/>
      <c r="E6" s="84"/>
      <c r="F6" s="85"/>
      <c r="G6" s="86"/>
      <c r="H6" s="90"/>
      <c r="I6" s="91"/>
      <c r="J6" s="92"/>
      <c r="K6" s="96" t="s">
        <v>25</v>
      </c>
      <c r="L6" s="96" t="s">
        <v>26</v>
      </c>
      <c r="M6" s="93" t="s">
        <v>90</v>
      </c>
      <c r="N6" s="94"/>
      <c r="O6" s="95"/>
      <c r="P6" s="21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2:48" ht="31.5">
      <c r="B7" s="22"/>
      <c r="C7" s="80"/>
      <c r="D7" s="80"/>
      <c r="E7" s="34" t="s">
        <v>25</v>
      </c>
      <c r="F7" s="35" t="s">
        <v>26</v>
      </c>
      <c r="G7" s="35" t="s">
        <v>92</v>
      </c>
      <c r="H7" s="35" t="s">
        <v>25</v>
      </c>
      <c r="I7" s="35" t="s">
        <v>26</v>
      </c>
      <c r="J7" s="35" t="s">
        <v>93</v>
      </c>
      <c r="K7" s="97"/>
      <c r="L7" s="97"/>
      <c r="M7" s="35" t="s">
        <v>94</v>
      </c>
      <c r="N7" s="35" t="s">
        <v>95</v>
      </c>
      <c r="O7" s="36" t="s">
        <v>96</v>
      </c>
      <c r="P7" s="21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2:30" s="13" customFormat="1" ht="17.25" customHeight="1">
      <c r="B8" s="2"/>
      <c r="C8" s="9" t="s">
        <v>7</v>
      </c>
      <c r="D8" s="39" t="str">
        <f>'Факторный а-з себ-сти'!D6</f>
        <v>Модель-1</v>
      </c>
      <c r="E8" s="54">
        <v>1.12</v>
      </c>
      <c r="F8" s="54">
        <v>1.121</v>
      </c>
      <c r="G8" s="57">
        <f>F8-E8</f>
        <v>0.0009999999999998899</v>
      </c>
      <c r="H8" s="26">
        <v>2400</v>
      </c>
      <c r="I8" s="26">
        <v>2500</v>
      </c>
      <c r="J8" s="55">
        <f>I8-H8</f>
        <v>100</v>
      </c>
      <c r="K8" s="55">
        <f>E8*H8</f>
        <v>2688.0000000000005</v>
      </c>
      <c r="L8" s="55">
        <f>F8*I8</f>
        <v>2802.5</v>
      </c>
      <c r="M8" s="55">
        <f>L8-K8</f>
        <v>114.49999999999955</v>
      </c>
      <c r="N8" s="55">
        <f>G8*H8</f>
        <v>2.3999999999997357</v>
      </c>
      <c r="O8" s="55">
        <f>F8*J8</f>
        <v>112.1</v>
      </c>
      <c r="P8" s="3"/>
      <c r="Y8" s="12"/>
      <c r="Z8" s="12"/>
      <c r="AA8" s="12"/>
      <c r="AB8" s="12"/>
      <c r="AC8" s="12"/>
      <c r="AD8" s="12"/>
    </row>
    <row r="9" spans="2:30" s="13" customFormat="1" ht="12.75">
      <c r="B9" s="2"/>
      <c r="C9" s="9" t="s">
        <v>3</v>
      </c>
      <c r="D9" s="39" t="str">
        <f>'Факторный а-з себ-сти'!D7</f>
        <v>Модель-2</v>
      </c>
      <c r="E9" s="54">
        <v>1.2</v>
      </c>
      <c r="F9" s="54">
        <v>1.22</v>
      </c>
      <c r="G9" s="57">
        <f>F9-E9</f>
        <v>0.020000000000000018</v>
      </c>
      <c r="H9" s="26">
        <v>2500</v>
      </c>
      <c r="I9" s="26">
        <v>2700</v>
      </c>
      <c r="J9" s="55">
        <f>I9-H9</f>
        <v>200</v>
      </c>
      <c r="K9" s="55">
        <f aca="true" t="shared" si="0" ref="K9:L11">E9*H9</f>
        <v>3000</v>
      </c>
      <c r="L9" s="55">
        <f t="shared" si="0"/>
        <v>3294</v>
      </c>
      <c r="M9" s="55">
        <f>L9-K9</f>
        <v>294</v>
      </c>
      <c r="N9" s="55">
        <f>G9*H9</f>
        <v>50.00000000000004</v>
      </c>
      <c r="O9" s="55">
        <f>F9*J9</f>
        <v>244</v>
      </c>
      <c r="P9" s="3"/>
      <c r="Y9" s="12"/>
      <c r="Z9" s="12"/>
      <c r="AA9" s="12"/>
      <c r="AB9" s="12"/>
      <c r="AC9" s="12"/>
      <c r="AD9" s="12"/>
    </row>
    <row r="10" spans="2:30" s="8" customFormat="1" ht="12.75">
      <c r="B10" s="2"/>
      <c r="C10" s="9" t="s">
        <v>1</v>
      </c>
      <c r="D10" s="39" t="str">
        <f>'Факторный а-з себ-сти'!D8</f>
        <v>Модель-3</v>
      </c>
      <c r="E10" s="54">
        <v>1.25</v>
      </c>
      <c r="F10" s="54">
        <v>1.24</v>
      </c>
      <c r="G10" s="57">
        <f>F10-E10</f>
        <v>-0.010000000000000009</v>
      </c>
      <c r="H10" s="26">
        <v>2700</v>
      </c>
      <c r="I10" s="26">
        <v>2900</v>
      </c>
      <c r="J10" s="55">
        <f>I10-H10</f>
        <v>200</v>
      </c>
      <c r="K10" s="55">
        <f t="shared" si="0"/>
        <v>3375</v>
      </c>
      <c r="L10" s="55">
        <f t="shared" si="0"/>
        <v>3596</v>
      </c>
      <c r="M10" s="55">
        <f>L10-K10</f>
        <v>221</v>
      </c>
      <c r="N10" s="55">
        <f>G10*H10</f>
        <v>-27.000000000000025</v>
      </c>
      <c r="O10" s="55">
        <f>F10*J10</f>
        <v>248</v>
      </c>
      <c r="P10" s="3"/>
      <c r="Y10" s="12"/>
      <c r="Z10" s="12"/>
      <c r="AA10" s="12"/>
      <c r="AB10" s="12"/>
      <c r="AC10" s="12"/>
      <c r="AD10" s="12"/>
    </row>
    <row r="11" spans="2:30" s="8" customFormat="1" ht="12.75">
      <c r="B11" s="2"/>
      <c r="C11" s="9" t="s">
        <v>2</v>
      </c>
      <c r="D11" s="39" t="str">
        <f>'Факторный а-з себ-сти'!D9</f>
        <v>Модель-5</v>
      </c>
      <c r="E11" s="54">
        <v>0.04</v>
      </c>
      <c r="F11" s="54">
        <v>0.037</v>
      </c>
      <c r="G11" s="57">
        <f>F11-E11</f>
        <v>-0.0030000000000000027</v>
      </c>
      <c r="H11" s="26">
        <v>2900</v>
      </c>
      <c r="I11" s="26">
        <v>3200</v>
      </c>
      <c r="J11" s="55">
        <f>I11-H11</f>
        <v>300</v>
      </c>
      <c r="K11" s="55">
        <f t="shared" si="0"/>
        <v>116</v>
      </c>
      <c r="L11" s="55">
        <f t="shared" si="0"/>
        <v>118.39999999999999</v>
      </c>
      <c r="M11" s="55">
        <f>L11-K11</f>
        <v>2.3999999999999915</v>
      </c>
      <c r="N11" s="55">
        <f>G11*H11</f>
        <v>-8.700000000000008</v>
      </c>
      <c r="O11" s="55">
        <f>F11*J11</f>
        <v>11.1</v>
      </c>
      <c r="P11" s="3"/>
      <c r="Y11" s="12"/>
      <c r="Z11" s="12"/>
      <c r="AA11" s="12"/>
      <c r="AB11" s="12"/>
      <c r="AC11" s="12"/>
      <c r="AD11" s="12"/>
    </row>
    <row r="12" spans="2:16" ht="11.25" thickBot="1">
      <c r="B12" s="4"/>
      <c r="C12" s="23"/>
      <c r="D12" s="23"/>
      <c r="E12" s="23"/>
      <c r="F12" s="23"/>
      <c r="G12" s="23"/>
      <c r="H12" s="37"/>
      <c r="I12" s="37"/>
      <c r="J12" s="37"/>
      <c r="K12" s="37"/>
      <c r="L12" s="23"/>
      <c r="M12" s="23"/>
      <c r="N12" s="23"/>
      <c r="O12" s="23"/>
      <c r="P12" s="24"/>
    </row>
  </sheetData>
  <sheetProtection/>
  <mergeCells count="9">
    <mergeCell ref="C5:C7"/>
    <mergeCell ref="C3:O3"/>
    <mergeCell ref="E5:G6"/>
    <mergeCell ref="H5:J6"/>
    <mergeCell ref="K5:O5"/>
    <mergeCell ref="K6:K7"/>
    <mergeCell ref="L6:L7"/>
    <mergeCell ref="M6:O6"/>
    <mergeCell ref="D5:D7"/>
  </mergeCells>
  <printOptions/>
  <pageMargins left="0.7" right="0.7" top="0.75" bottom="0.75" header="0.3" footer="0.3"/>
  <pageSetup horizontalDpi="600" verticalDpi="600" orientation="portrait" paperSize="9" scale="71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B1:AW11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1" width="4.25390625" style="1" bestFit="1" customWidth="1"/>
    <col min="2" max="2" width="3.25390625" style="1" customWidth="1"/>
    <col min="3" max="3" width="5.625" style="15" customWidth="1"/>
    <col min="4" max="4" width="9.125" style="15" bestFit="1" customWidth="1"/>
    <col min="5" max="5" width="11.375" style="15" bestFit="1" customWidth="1"/>
    <col min="6" max="6" width="13.625" style="15" bestFit="1" customWidth="1"/>
    <col min="7" max="7" width="11.125" style="15" bestFit="1" customWidth="1"/>
    <col min="8" max="8" width="11.125" style="15" customWidth="1"/>
    <col min="9" max="9" width="9.00390625" style="15" bestFit="1" customWidth="1"/>
    <col min="10" max="10" width="10.25390625" style="15" customWidth="1"/>
    <col min="11" max="11" width="12.75390625" style="15" bestFit="1" customWidth="1"/>
    <col min="12" max="12" width="16.125" style="15" bestFit="1" customWidth="1"/>
    <col min="13" max="13" width="10.875" style="15" customWidth="1"/>
    <col min="14" max="15" width="15.75390625" style="15" bestFit="1" customWidth="1"/>
    <col min="16" max="16" width="14.00390625" style="15" bestFit="1" customWidth="1"/>
    <col min="17" max="17" width="3.00390625" style="1" customWidth="1"/>
    <col min="18" max="20" width="2.75390625" style="1" customWidth="1"/>
    <col min="21" max="21" width="6.625" style="1" bestFit="1" customWidth="1"/>
    <col min="22" max="22" width="2.75390625" style="1" customWidth="1"/>
    <col min="23" max="23" width="6.625" style="1" bestFit="1" customWidth="1"/>
    <col min="24" max="25" width="2.75390625" style="1" customWidth="1"/>
    <col min="26" max="30" width="3.25390625" style="1" bestFit="1" customWidth="1"/>
    <col min="31" max="31" width="4.75390625" style="1" bestFit="1" customWidth="1"/>
    <col min="32" max="16384" width="2.75390625" style="1" customWidth="1"/>
  </cols>
  <sheetData>
    <row r="1" spans="2:24" ht="15" customHeight="1" thickBot="1">
      <c r="B1" s="5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2:49" ht="11.25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2:49" ht="18">
      <c r="B3" s="20"/>
      <c r="C3" s="71" t="s">
        <v>106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21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2:49" ht="12.75" customHeight="1">
      <c r="B4" s="20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1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2:49" ht="111" customHeight="1">
      <c r="B5" s="22"/>
      <c r="C5" s="34" t="s">
        <v>0</v>
      </c>
      <c r="D5" s="34" t="s">
        <v>30</v>
      </c>
      <c r="E5" s="38" t="s">
        <v>97</v>
      </c>
      <c r="F5" s="38" t="s">
        <v>98</v>
      </c>
      <c r="G5" s="38" t="s">
        <v>99</v>
      </c>
      <c r="H5" s="38" t="s">
        <v>100</v>
      </c>
      <c r="I5" s="38" t="s">
        <v>31</v>
      </c>
      <c r="J5" s="38" t="s">
        <v>35</v>
      </c>
      <c r="K5" s="38" t="s">
        <v>101</v>
      </c>
      <c r="L5" s="38" t="s">
        <v>102</v>
      </c>
      <c r="M5" s="38" t="s">
        <v>76</v>
      </c>
      <c r="N5" s="38" t="s">
        <v>103</v>
      </c>
      <c r="O5" s="38" t="s">
        <v>104</v>
      </c>
      <c r="P5" s="38" t="s">
        <v>105</v>
      </c>
      <c r="Q5" s="21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31" s="13" customFormat="1" ht="17.25" customHeight="1">
      <c r="B6" s="2"/>
      <c r="C6" s="9" t="s">
        <v>7</v>
      </c>
      <c r="D6" s="39" t="str">
        <f>'Факторный а-з себ-сти'!D6</f>
        <v>Модель-1</v>
      </c>
      <c r="E6" s="56">
        <f>'ЗП на ед. продукции'!E8</f>
        <v>1.12</v>
      </c>
      <c r="F6" s="56">
        <f>'ЗП на ед. продукции'!H8</f>
        <v>2400</v>
      </c>
      <c r="G6" s="57">
        <f>'ЗП на ед. продукции'!K8</f>
        <v>2688.0000000000005</v>
      </c>
      <c r="H6" s="57">
        <f>'ЗП на ед. продукции'!L8</f>
        <v>2802.5</v>
      </c>
      <c r="I6" s="11">
        <f>'Расчет затрат'!E6</f>
        <v>500</v>
      </c>
      <c r="J6" s="11">
        <f>'Расчет затрат'!H6</f>
        <v>489</v>
      </c>
      <c r="K6" s="11">
        <f>G6*I6</f>
        <v>1344000.0000000002</v>
      </c>
      <c r="L6" s="11">
        <f>K6*M6</f>
        <v>1375524.864</v>
      </c>
      <c r="M6" s="60">
        <f>'Расчет затрат'!K6</f>
        <v>1.023456</v>
      </c>
      <c r="N6" s="55">
        <f>G6*J6</f>
        <v>1314432.0000000002</v>
      </c>
      <c r="O6" s="55">
        <f>E6*F6*J6</f>
        <v>1314432.0000000002</v>
      </c>
      <c r="P6" s="55">
        <f>H6*J6</f>
        <v>1370422.5</v>
      </c>
      <c r="Q6" s="3"/>
      <c r="Z6" s="12"/>
      <c r="AA6" s="12"/>
      <c r="AB6" s="12"/>
      <c r="AC6" s="12"/>
      <c r="AD6" s="12"/>
      <c r="AE6" s="12"/>
    </row>
    <row r="7" spans="2:31" s="13" customFormat="1" ht="12.75">
      <c r="B7" s="2"/>
      <c r="C7" s="9" t="s">
        <v>3</v>
      </c>
      <c r="D7" s="39" t="str">
        <f>'Факторный а-з себ-сти'!D7</f>
        <v>Модель-2</v>
      </c>
      <c r="E7" s="56">
        <f>'ЗП на ед. продукции'!E9</f>
        <v>1.2</v>
      </c>
      <c r="F7" s="56">
        <f>'ЗП на ед. продукции'!H9</f>
        <v>2500</v>
      </c>
      <c r="G7" s="57">
        <f>'ЗП на ед. продукции'!K9</f>
        <v>3000</v>
      </c>
      <c r="H7" s="57">
        <f>'ЗП на ед. продукции'!L9</f>
        <v>3294</v>
      </c>
      <c r="I7" s="11">
        <f>'Расчет затрат'!E7</f>
        <v>500</v>
      </c>
      <c r="J7" s="11">
        <f>'Расчет затрат'!H7</f>
        <v>470</v>
      </c>
      <c r="K7" s="11">
        <f>G7*I7</f>
        <v>1500000</v>
      </c>
      <c r="L7" s="11">
        <f>K7*M7</f>
        <v>1535183.9999999998</v>
      </c>
      <c r="M7" s="60">
        <f>'Расчет затрат'!K7</f>
        <v>1.023456</v>
      </c>
      <c r="N7" s="55">
        <f>G7*J7</f>
        <v>1410000</v>
      </c>
      <c r="O7" s="55">
        <f>E7*F7*J7</f>
        <v>1410000</v>
      </c>
      <c r="P7" s="55">
        <f>H7*J7</f>
        <v>1548180</v>
      </c>
      <c r="Q7" s="3"/>
      <c r="Z7" s="12"/>
      <c r="AA7" s="12"/>
      <c r="AB7" s="12"/>
      <c r="AC7" s="12"/>
      <c r="AD7" s="12"/>
      <c r="AE7" s="12"/>
    </row>
    <row r="8" spans="2:31" s="8" customFormat="1" ht="12.75">
      <c r="B8" s="2"/>
      <c r="C8" s="9" t="s">
        <v>1</v>
      </c>
      <c r="D8" s="39" t="str">
        <f>'Факторный а-з себ-сти'!D8</f>
        <v>Модель-3</v>
      </c>
      <c r="E8" s="56">
        <f>'ЗП на ед. продукции'!E10</f>
        <v>1.25</v>
      </c>
      <c r="F8" s="56">
        <f>'ЗП на ед. продукции'!H10</f>
        <v>2700</v>
      </c>
      <c r="G8" s="57">
        <f>'ЗП на ед. продукции'!K10</f>
        <v>3375</v>
      </c>
      <c r="H8" s="57">
        <f>'ЗП на ед. продукции'!L10</f>
        <v>3596</v>
      </c>
      <c r="I8" s="11">
        <f>'Расчет затрат'!E8</f>
        <v>500</v>
      </c>
      <c r="J8" s="11">
        <f>'Расчет затрат'!H8</f>
        <v>520</v>
      </c>
      <c r="K8" s="11">
        <f>G8*I8</f>
        <v>1687500</v>
      </c>
      <c r="L8" s="11">
        <f>K8*M8</f>
        <v>1727081.9999999998</v>
      </c>
      <c r="M8" s="60">
        <f>'Расчет затрат'!K8</f>
        <v>1.023456</v>
      </c>
      <c r="N8" s="55">
        <f>G8*J8</f>
        <v>1755000</v>
      </c>
      <c r="O8" s="55">
        <f>E8*F8*J8</f>
        <v>1755000</v>
      </c>
      <c r="P8" s="55">
        <f>H8*J8</f>
        <v>1869920</v>
      </c>
      <c r="Q8" s="3"/>
      <c r="Z8" s="12"/>
      <c r="AA8" s="12"/>
      <c r="AB8" s="12"/>
      <c r="AC8" s="12"/>
      <c r="AD8" s="12"/>
      <c r="AE8" s="12"/>
    </row>
    <row r="9" spans="2:31" s="8" customFormat="1" ht="12.75">
      <c r="B9" s="2"/>
      <c r="C9" s="9" t="s">
        <v>2</v>
      </c>
      <c r="D9" s="39" t="str">
        <f>'Факторный а-з себ-сти'!D9</f>
        <v>Модель-5</v>
      </c>
      <c r="E9" s="56">
        <f>'ЗП на ед. продукции'!E11</f>
        <v>0.04</v>
      </c>
      <c r="F9" s="56">
        <f>'ЗП на ед. продукции'!H11</f>
        <v>2900</v>
      </c>
      <c r="G9" s="57">
        <f>'ЗП на ед. продукции'!K11</f>
        <v>116</v>
      </c>
      <c r="H9" s="57">
        <f>'ЗП на ед. продукции'!L11</f>
        <v>118.39999999999999</v>
      </c>
      <c r="I9" s="11">
        <f>'Расчет затрат'!E9</f>
        <v>5000</v>
      </c>
      <c r="J9" s="11">
        <f>'Расчет затрат'!H9</f>
        <v>5130</v>
      </c>
      <c r="K9" s="11">
        <f>G9*I9</f>
        <v>580000</v>
      </c>
      <c r="L9" s="11">
        <f>K9*M9</f>
        <v>593604.48</v>
      </c>
      <c r="M9" s="60">
        <f>'Расчет затрат'!K9</f>
        <v>1.023456</v>
      </c>
      <c r="N9" s="55">
        <f>G9*J9</f>
        <v>595080</v>
      </c>
      <c r="O9" s="55">
        <f>E9*F9*J9</f>
        <v>595080</v>
      </c>
      <c r="P9" s="55">
        <f>H9*J9</f>
        <v>607392</v>
      </c>
      <c r="Q9" s="3"/>
      <c r="Z9" s="12"/>
      <c r="AA9" s="12"/>
      <c r="AB9" s="12"/>
      <c r="AC9" s="12"/>
      <c r="AD9" s="12"/>
      <c r="AE9" s="12"/>
    </row>
    <row r="10" spans="2:31" s="58" customFormat="1" ht="12.75">
      <c r="B10" s="28"/>
      <c r="C10" s="29" t="s">
        <v>4</v>
      </c>
      <c r="D10" s="25" t="s">
        <v>43</v>
      </c>
      <c r="E10" s="98"/>
      <c r="F10" s="99"/>
      <c r="G10" s="99"/>
      <c r="H10" s="99"/>
      <c r="I10" s="99"/>
      <c r="J10" s="100"/>
      <c r="K10" s="33">
        <f>SUM(K6:K9)</f>
        <v>5111500</v>
      </c>
      <c r="L10" s="33">
        <f>SUM(L6:L9)</f>
        <v>5231395.3440000005</v>
      </c>
      <c r="M10" s="53" t="s">
        <v>45</v>
      </c>
      <c r="N10" s="59">
        <f>SUM(N6:N9)</f>
        <v>5074512</v>
      </c>
      <c r="O10" s="59">
        <f>SUM(O6:O9)</f>
        <v>5074512</v>
      </c>
      <c r="P10" s="59">
        <f>SUM(P6:P9)</f>
        <v>5395914.5</v>
      </c>
      <c r="Q10" s="30"/>
      <c r="Z10" s="31"/>
      <c r="AA10" s="31"/>
      <c r="AB10" s="31"/>
      <c r="AC10" s="31"/>
      <c r="AD10" s="31"/>
      <c r="AE10" s="31"/>
    </row>
    <row r="11" spans="2:17" ht="11.25" thickBot="1">
      <c r="B11" s="4"/>
      <c r="C11" s="23"/>
      <c r="D11" s="23"/>
      <c r="E11" s="23"/>
      <c r="F11" s="23"/>
      <c r="G11" s="23"/>
      <c r="H11" s="37"/>
      <c r="I11" s="37"/>
      <c r="J11" s="37"/>
      <c r="K11" s="37"/>
      <c r="L11" s="37"/>
      <c r="M11" s="37"/>
      <c r="N11" s="23"/>
      <c r="O11" s="23"/>
      <c r="P11" s="23"/>
      <c r="Q11" s="24"/>
    </row>
  </sheetData>
  <sheetProtection/>
  <mergeCells count="2">
    <mergeCell ref="E10:J10"/>
    <mergeCell ref="C3:P3"/>
  </mergeCells>
  <printOptions/>
  <pageMargins left="0.7" right="0.7" top="0.75" bottom="0.75" header="0.3" footer="0.3"/>
  <pageSetup horizontalDpi="600" verticalDpi="600" orientation="landscape" paperSize="9" scale="77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2010-11-19T13:00:07Z</cp:lastPrinted>
  <dcterms:created xsi:type="dcterms:W3CDTF">2004-01-26T15:28:24Z</dcterms:created>
  <dcterms:modified xsi:type="dcterms:W3CDTF">2021-03-17T10:24:12Z</dcterms:modified>
  <cp:category/>
  <cp:version/>
  <cp:contentType/>
  <cp:contentStatus/>
</cp:coreProperties>
</file>