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латежный ордер" sheetId="1" r:id="rId1"/>
    <sheet name="Лист2" sheetId="2" state="hidden" r:id="rId2"/>
    <sheet name="Формула числа прописью" sheetId="3" state="hidden" r:id="rId3"/>
  </sheets>
  <definedNames>
    <definedName name="номер_месяца">'Платежный ордер'!$B$156</definedName>
    <definedName name="_xlnm.Print_Area" localSheetId="0">'Платежный ордер'!$C$3:$BH$88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  <author>shimanovich</author>
  </authors>
  <commentList>
    <comment ref="AU18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  <r>
          <rPr>
            <sz val="8"/>
            <rFont val="Tahoma"/>
            <family val="0"/>
          </rPr>
          <t xml:space="preserve">
</t>
        </r>
      </text>
    </comment>
    <comment ref="AW3" authorId="1">
      <text>
        <r>
          <rPr>
            <b/>
            <sz val="8"/>
            <rFont val="Tahoma"/>
            <family val="2"/>
          </rPr>
          <t>Постановление от 29.03.2001 № 66, с изменениями, внесенными Постановление Правления Национального банка Республики Беларусь от 21 февраля 2017 г. № 73</t>
        </r>
      </text>
    </comment>
  </commentList>
</comments>
</file>

<file path=xl/sharedStrings.xml><?xml version="1.0" encoding="utf-8"?>
<sst xmlns="http://schemas.openxmlformats.org/spreadsheetml/2006/main" count="123" uniqueCount="103">
  <si>
    <t>Дата</t>
  </si>
  <si>
    <t>Сумма и валюта:</t>
  </si>
  <si>
    <t>Сумма цифрами</t>
  </si>
  <si>
    <t>Счет №</t>
  </si>
  <si>
    <t>Банк-отправитель:</t>
  </si>
  <si>
    <t>Код банка</t>
  </si>
  <si>
    <t>Банк-получатель:</t>
  </si>
  <si>
    <t>Бенефициар:</t>
  </si>
  <si>
    <t>Назначение платежа:</t>
  </si>
  <si>
    <t>УНП плательщика</t>
  </si>
  <si>
    <t>УНП бенефициара</t>
  </si>
  <si>
    <t>УНП третьего лица</t>
  </si>
  <si>
    <t>Код платежа</t>
  </si>
  <si>
    <t>Очередь</t>
  </si>
  <si>
    <t>Код валюты</t>
  </si>
  <si>
    <t>Штамп банка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</si>
  <si>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</si>
  <si>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</si>
  <si>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</si>
  <si>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</si>
  <si>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</si>
  <si>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</si>
  <si>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</si>
  <si>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</si>
  <si>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</si>
  <si>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</si>
  <si>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</si>
  <si>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</si>
  <si>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</si>
  <si>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</si>
  <si>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</si>
  <si>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</si>
  <si>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</si>
  <si>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</si>
  <si>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</si>
  <si>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</si>
  <si>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</si>
  <si>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</si>
  <si>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</si>
  <si>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</si>
  <si>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</si>
  <si>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</si>
  <si>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</si>
  <si>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</si>
  <si>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</si>
  <si>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</si>
  <si>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</si>
  <si>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</si>
  <si>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</si>
  <si>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</si>
  <si>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</si>
  <si>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</si>
  <si>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</si>
  <si>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</si>
  <si>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</si>
  <si>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</si>
  <si>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</si>
  <si>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</si>
  <si>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</si>
  <si>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</si>
  <si>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Подписи уполномоченных лиц банка</t>
  </si>
  <si>
    <t>Вид операции</t>
  </si>
  <si>
    <t>Плательщик:</t>
  </si>
  <si>
    <t>к Инструкции</t>
  </si>
  <si>
    <t>о банковском переводе</t>
  </si>
  <si>
    <t>Курс
валюты</t>
  </si>
  <si>
    <t>Дебет счета</t>
  </si>
  <si>
    <t>Кредит счета</t>
  </si>
  <si>
    <t>Эквивалент в белорусских рублях</t>
  </si>
  <si>
    <t>Сумма перевода</t>
  </si>
  <si>
    <t>ПЛАТЕЖНЫЙ ОРДЕР № 
(сокращенный)</t>
  </si>
  <si>
    <t>0401540107</t>
  </si>
  <si>
    <t>ноль для копеек</t>
  </si>
  <si>
    <t xml:space="preserve"> копейка</t>
  </si>
  <si>
    <t xml:space="preserve"> белорусский рубль </t>
  </si>
  <si>
    <t xml:space="preserve"> российский рубль </t>
  </si>
  <si>
    <t xml:space="preserve"> цент</t>
  </si>
  <si>
    <t xml:space="preserve"> доллар </t>
  </si>
  <si>
    <t xml:space="preserve"> евроцент</t>
  </si>
  <si>
    <t xml:space="preserve"> копейки</t>
  </si>
  <si>
    <t xml:space="preserve"> белорусских рубля </t>
  </si>
  <si>
    <t xml:space="preserve"> российских рубля </t>
  </si>
  <si>
    <t xml:space="preserve"> цента</t>
  </si>
  <si>
    <t xml:space="preserve"> доллара </t>
  </si>
  <si>
    <t xml:space="preserve"> евроцента</t>
  </si>
  <si>
    <t xml:space="preserve"> копеек</t>
  </si>
  <si>
    <t xml:space="preserve"> белорусских рублей </t>
  </si>
  <si>
    <t xml:space="preserve"> российских рублей </t>
  </si>
  <si>
    <t xml:space="preserve"> центов</t>
  </si>
  <si>
    <t xml:space="preserve"> долларов </t>
  </si>
  <si>
    <t xml:space="preserve"> евроцентов</t>
  </si>
  <si>
    <t xml:space="preserve"> евро </t>
  </si>
  <si>
    <t>BYN</t>
  </si>
  <si>
    <t>RUB</t>
  </si>
  <si>
    <t>USD</t>
  </si>
  <si>
    <t>EUR</t>
  </si>
  <si>
    <t>Приложение 5</t>
  </si>
  <si>
    <t>02.12.2019 № 476)</t>
  </si>
  <si>
    <t>(в редакции постановления</t>
  </si>
  <si>
    <t>Правления Национального банка</t>
  </si>
  <si>
    <t>Республики Беларусь</t>
  </si>
  <si>
    <t>Форма</t>
  </si>
  <si>
    <t>Форма действует с 01.01.2020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</si>
</sst>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b/>
      <sz val="12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10"/>
      <name val="Helv"/>
      <family val="0"/>
    </font>
    <font>
      <sz val="8"/>
      <color indexed="43"/>
      <name val="Tahoma"/>
      <family val="2"/>
    </font>
    <font>
      <sz val="10"/>
      <color indexed="9"/>
      <name val="Arial"/>
      <family val="0"/>
    </font>
    <font>
      <sz val="10.5"/>
      <color indexed="9"/>
      <name val="Times New Roman"/>
      <family val="1"/>
    </font>
    <font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9" xfId="0" applyNumberFormat="1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18" xfId="0" applyNumberFormat="1" applyFont="1" applyFill="1" applyBorder="1" applyAlignment="1" applyProtection="1">
      <alignment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4" fontId="9" fillId="35" borderId="0" xfId="0" applyNumberFormat="1" applyFont="1" applyFill="1" applyBorder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 horizontal="left"/>
      <protection hidden="1"/>
    </xf>
    <xf numFmtId="0" fontId="8" fillId="35" borderId="0" xfId="0" applyFont="1" applyFill="1" applyAlignment="1" applyProtection="1">
      <alignment horizontal="center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center"/>
      <protection hidden="1"/>
    </xf>
    <xf numFmtId="183" fontId="8" fillId="35" borderId="0" xfId="0" applyNumberFormat="1" applyFont="1" applyFill="1" applyAlignment="1" applyProtection="1">
      <alignment/>
      <protection hidden="1"/>
    </xf>
    <xf numFmtId="2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shrinkToFit="1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14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left"/>
      <protection hidden="1"/>
    </xf>
    <xf numFmtId="0" fontId="14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 shrinkToFit="1"/>
      <protection hidden="1"/>
    </xf>
    <xf numFmtId="3" fontId="8" fillId="35" borderId="0" xfId="0" applyNumberFormat="1" applyFont="1" applyFill="1" applyAlignment="1" applyProtection="1">
      <alignment/>
      <protection hidden="1"/>
    </xf>
    <xf numFmtId="1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6" fillId="35" borderId="0" xfId="0" applyNumberFormat="1" applyFont="1" applyFill="1" applyBorder="1" applyAlignment="1" applyProtection="1">
      <alignment horizontal="center" vertical="center"/>
      <protection locked="0"/>
    </xf>
    <xf numFmtId="0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vertical="center"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5" fillId="35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49" fontId="17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36" borderId="0" xfId="53" applyFont="1" applyFill="1" applyAlignment="1">
      <alignment horizontal="left" vertical="center"/>
      <protection/>
    </xf>
    <xf numFmtId="0" fontId="17" fillId="36" borderId="0" xfId="53" applyFont="1" applyFill="1" applyAlignment="1">
      <alignment vertical="center"/>
      <protection/>
    </xf>
    <xf numFmtId="0" fontId="4" fillId="37" borderId="23" xfId="0" applyFont="1" applyFill="1" applyBorder="1" applyAlignment="1" applyProtection="1">
      <alignment vertical="center"/>
      <protection hidden="1"/>
    </xf>
    <xf numFmtId="0" fontId="18" fillId="35" borderId="0" xfId="0" applyFont="1" applyFill="1" applyBorder="1" applyAlignment="1" applyProtection="1">
      <alignment/>
      <protection hidden="1"/>
    </xf>
    <xf numFmtId="3" fontId="18" fillId="35" borderId="0" xfId="0" applyNumberFormat="1" applyFont="1" applyFill="1" applyBorder="1" applyAlignment="1" applyProtection="1">
      <alignment/>
      <protection hidden="1"/>
    </xf>
    <xf numFmtId="0" fontId="19" fillId="35" borderId="0" xfId="0" applyFont="1" applyFill="1" applyBorder="1" applyAlignment="1" applyProtection="1">
      <alignment/>
      <protection hidden="1"/>
    </xf>
    <xf numFmtId="4" fontId="19" fillId="35" borderId="0" xfId="0" applyNumberFormat="1" applyFont="1" applyFill="1" applyBorder="1" applyAlignment="1" applyProtection="1">
      <alignment/>
      <protection hidden="1"/>
    </xf>
    <xf numFmtId="2" fontId="19" fillId="35" borderId="0" xfId="0" applyNumberFormat="1" applyFont="1" applyFill="1" applyBorder="1" applyAlignment="1" applyProtection="1">
      <alignment/>
      <protection hidden="1"/>
    </xf>
    <xf numFmtId="3" fontId="19" fillId="35" borderId="0" xfId="0" applyNumberFormat="1" applyFont="1" applyFill="1" applyBorder="1" applyAlignment="1" applyProtection="1">
      <alignment horizontal="right"/>
      <protection hidden="1"/>
    </xf>
    <xf numFmtId="3" fontId="19" fillId="35" borderId="0" xfId="0" applyNumberFormat="1" applyFont="1" applyFill="1" applyBorder="1" applyAlignment="1" applyProtection="1">
      <alignment/>
      <protection hidden="1"/>
    </xf>
    <xf numFmtId="1" fontId="19" fillId="35" borderId="0" xfId="0" applyNumberFormat="1" applyFont="1" applyFill="1" applyBorder="1" applyAlignment="1" applyProtection="1">
      <alignment horizontal="right"/>
      <protection hidden="1"/>
    </xf>
    <xf numFmtId="0" fontId="19" fillId="35" borderId="0" xfId="0" applyFont="1" applyFill="1" applyBorder="1" applyAlignment="1" applyProtection="1">
      <alignment horizontal="right"/>
      <protection hidden="1"/>
    </xf>
    <xf numFmtId="0" fontId="20" fillId="35" borderId="0" xfId="53" applyFont="1" applyFill="1" applyBorder="1" applyAlignment="1" applyProtection="1">
      <alignment horizontal="right" vertical="top"/>
      <protection hidden="1"/>
    </xf>
    <xf numFmtId="0" fontId="20" fillId="35" borderId="0" xfId="53" applyFont="1" applyFill="1" applyBorder="1" applyAlignment="1" applyProtection="1">
      <alignment vertical="top"/>
      <protection hidden="1"/>
    </xf>
    <xf numFmtId="0" fontId="20" fillId="35" borderId="0" xfId="53" applyFont="1" applyFill="1" applyBorder="1" applyAlignment="1" applyProtection="1">
      <alignment horizontal="right" vertical="center"/>
      <protection hidden="1"/>
    </xf>
    <xf numFmtId="0" fontId="20" fillId="35" borderId="0" xfId="53" applyFont="1" applyFill="1" applyBorder="1" applyAlignment="1" applyProtection="1">
      <alignment vertical="center"/>
      <protection hidden="1"/>
    </xf>
    <xf numFmtId="0" fontId="4" fillId="33" borderId="22" xfId="0" applyNumberFormat="1" applyFont="1" applyFill="1" applyBorder="1" applyAlignment="1" applyProtection="1">
      <alignment vertical="top" wrapText="1"/>
      <protection locked="0"/>
    </xf>
    <xf numFmtId="0" fontId="4" fillId="33" borderId="0" xfId="0" applyNumberFormat="1" applyFont="1" applyFill="1" applyBorder="1" applyAlignment="1" applyProtection="1">
      <alignment vertical="top" wrapText="1"/>
      <protection locked="0"/>
    </xf>
    <xf numFmtId="49" fontId="3" fillId="33" borderId="0" xfId="0" applyNumberFormat="1" applyFont="1" applyFill="1" applyAlignment="1" applyProtection="1">
      <alignment horizontal="right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top"/>
      <protection/>
    </xf>
    <xf numFmtId="49" fontId="3" fillId="33" borderId="22" xfId="0" applyNumberFormat="1" applyFont="1" applyFill="1" applyBorder="1" applyAlignment="1" applyProtection="1">
      <alignment horizontal="left" vertical="top"/>
      <protection/>
    </xf>
    <xf numFmtId="49" fontId="3" fillId="33" borderId="19" xfId="0" applyNumberFormat="1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0" fontId="4" fillId="33" borderId="22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8" xfId="0" applyNumberFormat="1" applyFont="1" applyFill="1" applyBorder="1" applyAlignment="1" applyProtection="1">
      <alignment horizontal="left" vertical="top" wrapText="1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49" fontId="3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26" xfId="0" applyNumberFormat="1" applyFont="1" applyFill="1" applyBorder="1" applyAlignment="1" applyProtection="1">
      <alignment horizontal="left" vertical="center" wrapText="1"/>
      <protection/>
    </xf>
    <xf numFmtId="0" fontId="4" fillId="33" borderId="25" xfId="0" applyNumberFormat="1" applyFont="1" applyFill="1" applyBorder="1" applyAlignment="1" applyProtection="1">
      <alignment horizontal="left" vertical="top" wrapText="1"/>
      <protection locked="0"/>
    </xf>
    <xf numFmtId="0" fontId="4" fillId="33" borderId="20" xfId="0" applyNumberFormat="1" applyFont="1" applyFill="1" applyBorder="1" applyAlignment="1" applyProtection="1">
      <alignment horizontal="left" vertical="top" wrapText="1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hidden="1"/>
    </xf>
    <xf numFmtId="0" fontId="4" fillId="33" borderId="26" xfId="0" applyNumberFormat="1" applyFont="1" applyFill="1" applyBorder="1" applyAlignment="1" applyProtection="1">
      <alignment horizontal="left" vertical="top" wrapText="1"/>
      <protection locked="0"/>
    </xf>
    <xf numFmtId="1" fontId="4" fillId="33" borderId="24" xfId="0" applyNumberFormat="1" applyFont="1" applyFill="1" applyBorder="1" applyAlignment="1" applyProtection="1">
      <alignment horizontal="left" vertical="center"/>
      <protection locked="0"/>
    </xf>
    <xf numFmtId="1" fontId="4" fillId="33" borderId="22" xfId="0" applyNumberFormat="1" applyFont="1" applyFill="1" applyBorder="1" applyAlignment="1" applyProtection="1">
      <alignment horizontal="left" vertical="center"/>
      <protection locked="0"/>
    </xf>
    <xf numFmtId="1" fontId="4" fillId="33" borderId="25" xfId="0" applyNumberFormat="1" applyFont="1" applyFill="1" applyBorder="1" applyAlignment="1" applyProtection="1">
      <alignment horizontal="left" vertical="center"/>
      <protection locked="0"/>
    </xf>
    <xf numFmtId="1" fontId="4" fillId="33" borderId="19" xfId="0" applyNumberFormat="1" applyFont="1" applyFill="1" applyBorder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left" vertical="center"/>
      <protection locked="0"/>
    </xf>
    <xf numFmtId="1" fontId="4" fillId="33" borderId="20" xfId="0" applyNumberFormat="1" applyFont="1" applyFill="1" applyBorder="1" applyAlignment="1" applyProtection="1">
      <alignment horizontal="left" vertical="center"/>
      <protection locked="0"/>
    </xf>
    <xf numFmtId="1" fontId="4" fillId="33" borderId="21" xfId="0" applyNumberFormat="1" applyFont="1" applyFill="1" applyBorder="1" applyAlignment="1" applyProtection="1">
      <alignment horizontal="left" vertical="center"/>
      <protection locked="0"/>
    </xf>
    <xf numFmtId="1" fontId="4" fillId="33" borderId="18" xfId="0" applyNumberFormat="1" applyFont="1" applyFill="1" applyBorder="1" applyAlignment="1" applyProtection="1">
      <alignment horizontal="left" vertical="center"/>
      <protection locked="0"/>
    </xf>
    <xf numFmtId="1" fontId="4" fillId="33" borderId="26" xfId="0" applyNumberFormat="1" applyFont="1" applyFill="1" applyBorder="1" applyAlignment="1" applyProtection="1">
      <alignment horizontal="left" vertical="center"/>
      <protection locked="0"/>
    </xf>
    <xf numFmtId="0" fontId="4" fillId="33" borderId="22" xfId="0" applyNumberFormat="1" applyFont="1" applyFill="1" applyBorder="1" applyAlignment="1" applyProtection="1">
      <alignment horizontal="left" vertical="top" wrapText="1"/>
      <protection/>
    </xf>
    <xf numFmtId="0" fontId="4" fillId="33" borderId="25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20" xfId="0" applyNumberFormat="1" applyFont="1" applyFill="1" applyBorder="1" applyAlignment="1" applyProtection="1">
      <alignment horizontal="left" vertical="top" wrapText="1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3" borderId="25" xfId="0" applyNumberFormat="1" applyFont="1" applyFill="1" applyBorder="1" applyAlignment="1" applyProtection="1">
      <alignment horizontal="center" vertical="center"/>
      <protection locked="0"/>
    </xf>
    <xf numFmtId="0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" fontId="4" fillId="33" borderId="24" xfId="0" applyNumberFormat="1" applyFont="1" applyFill="1" applyBorder="1" applyAlignment="1" applyProtection="1">
      <alignment horizontal="left" vertical="center"/>
      <protection locked="0"/>
    </xf>
    <xf numFmtId="4" fontId="4" fillId="33" borderId="22" xfId="0" applyNumberFormat="1" applyFont="1" applyFill="1" applyBorder="1" applyAlignment="1" applyProtection="1">
      <alignment horizontal="left" vertical="center"/>
      <protection locked="0"/>
    </xf>
    <xf numFmtId="4" fontId="4" fillId="33" borderId="25" xfId="0" applyNumberFormat="1" applyFont="1" applyFill="1" applyBorder="1" applyAlignment="1" applyProtection="1">
      <alignment horizontal="left" vertical="center"/>
      <protection locked="0"/>
    </xf>
    <xf numFmtId="4" fontId="4" fillId="33" borderId="19" xfId="0" applyNumberFormat="1" applyFont="1" applyFill="1" applyBorder="1" applyAlignment="1" applyProtection="1">
      <alignment horizontal="left" vertical="center"/>
      <protection locked="0"/>
    </xf>
    <xf numFmtId="4" fontId="4" fillId="33" borderId="0" xfId="0" applyNumberFormat="1" applyFont="1" applyFill="1" applyBorder="1" applyAlignment="1" applyProtection="1">
      <alignment horizontal="left" vertical="center"/>
      <protection locked="0"/>
    </xf>
    <xf numFmtId="4" fontId="4" fillId="33" borderId="20" xfId="0" applyNumberFormat="1" applyFont="1" applyFill="1" applyBorder="1" applyAlignment="1" applyProtection="1">
      <alignment horizontal="left" vertical="center"/>
      <protection locked="0"/>
    </xf>
    <xf numFmtId="4" fontId="4" fillId="33" borderId="21" xfId="0" applyNumberFormat="1" applyFont="1" applyFill="1" applyBorder="1" applyAlignment="1" applyProtection="1">
      <alignment horizontal="left" vertical="center"/>
      <protection locked="0"/>
    </xf>
    <xf numFmtId="4" fontId="4" fillId="33" borderId="18" xfId="0" applyNumberFormat="1" applyFont="1" applyFill="1" applyBorder="1" applyAlignment="1" applyProtection="1">
      <alignment horizontal="left" vertical="center"/>
      <protection locked="0"/>
    </xf>
    <xf numFmtId="4" fontId="4" fillId="33" borderId="26" xfId="0" applyNumberFormat="1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horizontal="right" vertical="center"/>
      <protection locked="0"/>
    </xf>
    <xf numFmtId="14" fontId="9" fillId="35" borderId="0" xfId="0" applyNumberFormat="1" applyFont="1" applyFill="1" applyAlignment="1" applyProtection="1">
      <alignment horizontal="center"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5" fillId="35" borderId="0" xfId="42" applyNumberFormat="1" applyFont="1" applyFill="1" applyAlignment="1" applyProtection="1">
      <alignment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платежного поручения (сокращенного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DM8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.75390625" defaultRowHeight="7.5" customHeight="1"/>
  <cols>
    <col min="1" max="59" width="1.75390625" style="6" customWidth="1"/>
    <col min="60" max="60" width="0.875" style="6" customWidth="1"/>
    <col min="61" max="63" width="1.75390625" style="6" customWidth="1"/>
    <col min="64" max="115" width="1.75390625" style="6" hidden="1" customWidth="1"/>
    <col min="116" max="116" width="1.75390625" style="6" customWidth="1"/>
    <col min="117" max="117" width="4.75390625" style="6" customWidth="1"/>
    <col min="118" max="16384" width="1.75390625" style="6" customWidth="1"/>
  </cols>
  <sheetData>
    <row r="1" spans="2:61" ht="19.5" customHeight="1" thickBot="1">
      <c r="B1" s="161" t="s">
        <v>102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</row>
    <row r="2" spans="2:61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</row>
    <row r="3" spans="2:61" ht="7.5" customHeight="1">
      <c r="B3" s="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56"/>
      <c r="X3" s="57"/>
      <c r="Y3" s="57"/>
      <c r="Z3" s="57"/>
      <c r="AA3" s="57"/>
      <c r="AB3" s="57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168" t="s">
        <v>96</v>
      </c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5"/>
    </row>
    <row r="4" spans="2:61" ht="7.5" customHeight="1">
      <c r="B4" s="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61" t="s">
        <v>63</v>
      </c>
      <c r="BI4" s="5"/>
    </row>
    <row r="5" spans="2:61" ht="7.5" customHeight="1"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2" t="s">
        <v>64</v>
      </c>
      <c r="BI5" s="5"/>
    </row>
    <row r="6" spans="2:61" ht="7.5" customHeight="1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2" t="s">
        <v>98</v>
      </c>
      <c r="BI6" s="5"/>
    </row>
    <row r="7" spans="2:61" ht="7.5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2" t="s">
        <v>99</v>
      </c>
      <c r="BI7" s="5"/>
    </row>
    <row r="8" spans="2:61" ht="7.5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2" t="s">
        <v>100</v>
      </c>
      <c r="BI8" s="5"/>
    </row>
    <row r="9" spans="2:61" ht="7.5" customHeight="1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2" t="s">
        <v>97</v>
      </c>
      <c r="BI9" s="5"/>
    </row>
    <row r="10" spans="2:117" ht="14.25" customHeight="1">
      <c r="B10" s="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82" t="s">
        <v>101</v>
      </c>
      <c r="BI10" s="5"/>
      <c r="DM10" s="66" t="s">
        <v>92</v>
      </c>
    </row>
    <row r="11" spans="2:61" ht="10.5" customHeight="1">
      <c r="B11" s="4"/>
      <c r="C11" s="99" t="s">
        <v>70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2"/>
      <c r="AF11" s="162" t="s">
        <v>0</v>
      </c>
      <c r="AG11" s="163"/>
      <c r="AH11" s="163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7" t="s">
        <v>71</v>
      </c>
      <c r="BC11" s="167"/>
      <c r="BD11" s="167"/>
      <c r="BE11" s="167"/>
      <c r="BF11" s="167"/>
      <c r="BG11" s="167"/>
      <c r="BH11" s="167"/>
      <c r="BI11" s="5"/>
    </row>
    <row r="12" spans="2:61" ht="10.5" customHeight="1">
      <c r="B12" s="4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8"/>
      <c r="AF12" s="164"/>
      <c r="AG12" s="165"/>
      <c r="AH12" s="165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7"/>
      <c r="BC12" s="167"/>
      <c r="BD12" s="167"/>
      <c r="BE12" s="167"/>
      <c r="BF12" s="167"/>
      <c r="BG12" s="167"/>
      <c r="BH12" s="167"/>
      <c r="BI12" s="5"/>
    </row>
    <row r="13" spans="2:61" ht="6.75" customHeight="1">
      <c r="B13" s="4"/>
      <c r="C13" s="90" t="s">
        <v>1</v>
      </c>
      <c r="D13" s="91"/>
      <c r="E13" s="91"/>
      <c r="F13" s="91"/>
      <c r="G13" s="91"/>
      <c r="H13" s="91"/>
      <c r="I13" s="91"/>
      <c r="J13" s="91"/>
      <c r="K13" s="130" t="str">
        <f>IF(OR(DM10="BYN",DM10=933),Лист2!I71,IF(OR(DM10="RUB",DM10=643),Лист2!U71,IF(OR(DM10="usd",DM10=840),Лист2!AH71,IF(OR(DM10="EUR",DM10=978),Лист2!AU71,""))))</f>
        <v> Четыреста пятьдесят шесть белорусских рублей 88 копеек</v>
      </c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1"/>
      <c r="BI13" s="5"/>
    </row>
    <row r="14" spans="2:61" ht="6.75" customHeight="1">
      <c r="B14" s="4"/>
      <c r="C14" s="92"/>
      <c r="D14" s="93"/>
      <c r="E14" s="93"/>
      <c r="F14" s="93"/>
      <c r="G14" s="93"/>
      <c r="H14" s="93"/>
      <c r="I14" s="93"/>
      <c r="J14" s="93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3"/>
      <c r="BI14" s="5"/>
    </row>
    <row r="15" spans="2:61" ht="6.75" customHeight="1">
      <c r="B15" s="4"/>
      <c r="C15" s="18"/>
      <c r="D15" s="14"/>
      <c r="E15" s="14"/>
      <c r="F15" s="14"/>
      <c r="G15" s="14"/>
      <c r="H15" s="14"/>
      <c r="I15" s="14"/>
      <c r="J15" s="14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3"/>
      <c r="BI15" s="5"/>
    </row>
    <row r="16" spans="2:61" ht="6.75" customHeight="1">
      <c r="B16" s="4"/>
      <c r="C16" s="18"/>
      <c r="D16" s="14"/>
      <c r="E16" s="14"/>
      <c r="F16" s="14"/>
      <c r="G16" s="14"/>
      <c r="H16" s="14"/>
      <c r="I16" s="14"/>
      <c r="J16" s="14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3"/>
      <c r="BI16" s="5"/>
    </row>
    <row r="17" spans="2:68" ht="6.75" customHeight="1">
      <c r="B17" s="4"/>
      <c r="C17" s="18"/>
      <c r="D17" s="14"/>
      <c r="E17" s="14"/>
      <c r="F17" s="14"/>
      <c r="G17" s="14"/>
      <c r="H17" s="14"/>
      <c r="I17" s="14"/>
      <c r="J17" s="14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3"/>
      <c r="BI17" s="5"/>
      <c r="BP17" s="63" t="s">
        <v>92</v>
      </c>
    </row>
    <row r="18" spans="2:68" ht="7.5" customHeight="1">
      <c r="B18" s="4"/>
      <c r="C18" s="99" t="s">
        <v>65</v>
      </c>
      <c r="D18" s="100"/>
      <c r="E18" s="100"/>
      <c r="F18" s="101"/>
      <c r="G18" s="143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5"/>
      <c r="T18" s="99" t="s">
        <v>14</v>
      </c>
      <c r="U18" s="100"/>
      <c r="V18" s="100"/>
      <c r="W18" s="101"/>
      <c r="X18" s="134" t="str">
        <f>IF(DM10="","",DM10)</f>
        <v>BYN</v>
      </c>
      <c r="Y18" s="135"/>
      <c r="Z18" s="135"/>
      <c r="AA18" s="136"/>
      <c r="AB18" s="99" t="s">
        <v>2</v>
      </c>
      <c r="AC18" s="100"/>
      <c r="AD18" s="100"/>
      <c r="AE18" s="100"/>
      <c r="AF18" s="101"/>
      <c r="AG18" s="121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3"/>
      <c r="AU18" s="152">
        <v>456.88</v>
      </c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4"/>
      <c r="BI18" s="5"/>
      <c r="BP18" s="64">
        <v>933</v>
      </c>
    </row>
    <row r="19" spans="2:68" ht="7.5" customHeight="1">
      <c r="B19" s="4"/>
      <c r="C19" s="102"/>
      <c r="D19" s="103"/>
      <c r="E19" s="103"/>
      <c r="F19" s="104"/>
      <c r="G19" s="146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8"/>
      <c r="T19" s="102"/>
      <c r="U19" s="103"/>
      <c r="V19" s="103"/>
      <c r="W19" s="104"/>
      <c r="X19" s="137"/>
      <c r="Y19" s="138"/>
      <c r="Z19" s="138"/>
      <c r="AA19" s="139"/>
      <c r="AB19" s="102"/>
      <c r="AC19" s="103"/>
      <c r="AD19" s="103"/>
      <c r="AE19" s="103"/>
      <c r="AF19" s="104"/>
      <c r="AG19" s="124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6"/>
      <c r="AU19" s="155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7"/>
      <c r="BI19" s="5"/>
      <c r="BP19" s="63" t="s">
        <v>93</v>
      </c>
    </row>
    <row r="20" spans="2:68" ht="7.5" customHeight="1">
      <c r="B20" s="4"/>
      <c r="C20" s="105"/>
      <c r="D20" s="106"/>
      <c r="E20" s="106"/>
      <c r="F20" s="107"/>
      <c r="G20" s="149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1"/>
      <c r="T20" s="105"/>
      <c r="U20" s="106"/>
      <c r="V20" s="106"/>
      <c r="W20" s="107"/>
      <c r="X20" s="140"/>
      <c r="Y20" s="141"/>
      <c r="Z20" s="141"/>
      <c r="AA20" s="142"/>
      <c r="AB20" s="105"/>
      <c r="AC20" s="106"/>
      <c r="AD20" s="106"/>
      <c r="AE20" s="106"/>
      <c r="AF20" s="107"/>
      <c r="AG20" s="127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9"/>
      <c r="AU20" s="158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60"/>
      <c r="BI20" s="5"/>
      <c r="BP20" s="64">
        <v>643</v>
      </c>
    </row>
    <row r="21" spans="2:68" ht="7.5" customHeight="1">
      <c r="B21" s="4"/>
      <c r="C21" s="90" t="s">
        <v>62</v>
      </c>
      <c r="D21" s="91"/>
      <c r="E21" s="91"/>
      <c r="F21" s="91"/>
      <c r="G21" s="91"/>
      <c r="H21" s="91"/>
      <c r="I21" s="91"/>
      <c r="J21" s="23"/>
      <c r="K21" s="23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108"/>
      <c r="BI21" s="5"/>
      <c r="BP21" s="65" t="s">
        <v>94</v>
      </c>
    </row>
    <row r="22" spans="2:68" ht="7.5" customHeight="1">
      <c r="B22" s="4"/>
      <c r="C22" s="92"/>
      <c r="D22" s="93"/>
      <c r="E22" s="93"/>
      <c r="F22" s="93"/>
      <c r="G22" s="93"/>
      <c r="H22" s="93"/>
      <c r="I22" s="93"/>
      <c r="J22" s="17"/>
      <c r="K22" s="17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109"/>
      <c r="BI22" s="5"/>
      <c r="BP22" s="64">
        <v>840</v>
      </c>
    </row>
    <row r="23" spans="2:68" ht="7.5" customHeight="1">
      <c r="B23" s="4"/>
      <c r="C23" s="18"/>
      <c r="D23" s="14"/>
      <c r="E23" s="14"/>
      <c r="F23" s="14"/>
      <c r="G23" s="14"/>
      <c r="H23" s="14"/>
      <c r="I23" s="14"/>
      <c r="J23" s="17"/>
      <c r="K23" s="17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109"/>
      <c r="BI23" s="5"/>
      <c r="BP23" s="63" t="s">
        <v>95</v>
      </c>
    </row>
    <row r="24" spans="2:68" ht="7.5" customHeight="1">
      <c r="B24" s="4"/>
      <c r="C24" s="18"/>
      <c r="D24" s="14"/>
      <c r="E24" s="14"/>
      <c r="F24" s="14"/>
      <c r="G24" s="14"/>
      <c r="H24" s="14"/>
      <c r="I24" s="14"/>
      <c r="J24" s="17"/>
      <c r="K24" s="17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109"/>
      <c r="BI24" s="5"/>
      <c r="BP24" s="64">
        <v>978</v>
      </c>
    </row>
    <row r="25" spans="2:61" ht="7.5" customHeight="1">
      <c r="B25" s="4"/>
      <c r="C25" s="1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7"/>
      <c r="AJ25" s="17"/>
      <c r="AK25" s="17"/>
      <c r="AL25" s="15"/>
      <c r="AM25" s="99" t="s">
        <v>3</v>
      </c>
      <c r="AN25" s="100"/>
      <c r="AO25" s="100"/>
      <c r="AP25" s="101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5"/>
    </row>
    <row r="26" spans="2:61" ht="7.5" customHeight="1">
      <c r="B26" s="4"/>
      <c r="C26" s="1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7"/>
      <c r="AI26" s="17"/>
      <c r="AJ26" s="17"/>
      <c r="AK26" s="17"/>
      <c r="AL26" s="15"/>
      <c r="AM26" s="102"/>
      <c r="AN26" s="103"/>
      <c r="AO26" s="103"/>
      <c r="AP26" s="104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5"/>
    </row>
    <row r="27" spans="2:61" ht="7.5" customHeight="1">
      <c r="B27" s="4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  <c r="AI27" s="22"/>
      <c r="AJ27" s="22"/>
      <c r="AK27" s="22"/>
      <c r="AL27" s="16"/>
      <c r="AM27" s="105"/>
      <c r="AN27" s="106"/>
      <c r="AO27" s="106"/>
      <c r="AP27" s="10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5"/>
    </row>
    <row r="28" spans="2:61" ht="7.5" customHeight="1">
      <c r="B28" s="4"/>
      <c r="C28" s="90" t="s">
        <v>4</v>
      </c>
      <c r="D28" s="91"/>
      <c r="E28" s="91"/>
      <c r="F28" s="91"/>
      <c r="G28" s="91"/>
      <c r="H28" s="91"/>
      <c r="I28" s="91"/>
      <c r="J28" s="91"/>
      <c r="K28" s="91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80"/>
      <c r="AN28" s="80"/>
      <c r="AO28" s="80"/>
      <c r="AP28" s="80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9"/>
      <c r="BI28" s="5"/>
    </row>
    <row r="29" spans="2:61" ht="7.5" customHeight="1">
      <c r="B29" s="4"/>
      <c r="C29" s="92"/>
      <c r="D29" s="93"/>
      <c r="E29" s="93"/>
      <c r="F29" s="93"/>
      <c r="G29" s="93"/>
      <c r="H29" s="93"/>
      <c r="I29" s="93"/>
      <c r="J29" s="93"/>
      <c r="K29" s="93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81"/>
      <c r="AN29" s="81"/>
      <c r="AO29" s="81"/>
      <c r="AP29" s="81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9"/>
      <c r="BI29" s="5"/>
    </row>
    <row r="30" spans="2:61" ht="7.5" customHeight="1">
      <c r="B30" s="4"/>
      <c r="C30" s="18"/>
      <c r="D30" s="14"/>
      <c r="E30" s="14"/>
      <c r="F30" s="14"/>
      <c r="G30" s="14"/>
      <c r="H30" s="14"/>
      <c r="I30" s="14"/>
      <c r="J30" s="14"/>
      <c r="K30" s="14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9" t="s">
        <v>5</v>
      </c>
      <c r="AN30" s="100"/>
      <c r="AO30" s="100"/>
      <c r="AP30" s="101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0"/>
      <c r="BF30" s="111"/>
      <c r="BG30" s="111"/>
      <c r="BH30" s="112"/>
      <c r="BI30" s="5"/>
    </row>
    <row r="31" spans="2:61" ht="7.5" customHeight="1">
      <c r="B31" s="4"/>
      <c r="C31" s="18"/>
      <c r="D31" s="14"/>
      <c r="E31" s="14"/>
      <c r="F31" s="14"/>
      <c r="G31" s="14"/>
      <c r="H31" s="14"/>
      <c r="I31" s="14"/>
      <c r="J31" s="14"/>
      <c r="K31" s="14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102"/>
      <c r="AN31" s="103"/>
      <c r="AO31" s="103"/>
      <c r="AP31" s="104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3"/>
      <c r="BF31" s="114"/>
      <c r="BG31" s="114"/>
      <c r="BH31" s="115"/>
      <c r="BI31" s="5"/>
    </row>
    <row r="32" spans="2:61" ht="7.5" customHeight="1">
      <c r="B32" s="4"/>
      <c r="C32" s="20"/>
      <c r="D32" s="21"/>
      <c r="E32" s="21"/>
      <c r="F32" s="21"/>
      <c r="G32" s="21"/>
      <c r="H32" s="21"/>
      <c r="I32" s="21"/>
      <c r="J32" s="21"/>
      <c r="K32" s="21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105"/>
      <c r="AN32" s="106"/>
      <c r="AO32" s="106"/>
      <c r="AP32" s="107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6"/>
      <c r="BF32" s="117"/>
      <c r="BG32" s="117"/>
      <c r="BH32" s="118"/>
      <c r="BI32" s="5"/>
    </row>
    <row r="33" spans="2:61" ht="7.5" customHeight="1">
      <c r="B33" s="4"/>
      <c r="C33" s="90" t="s">
        <v>6</v>
      </c>
      <c r="D33" s="91"/>
      <c r="E33" s="91"/>
      <c r="F33" s="91"/>
      <c r="G33" s="91"/>
      <c r="H33" s="91"/>
      <c r="I33" s="91"/>
      <c r="J33" s="91"/>
      <c r="K33" s="91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80"/>
      <c r="AN33" s="80"/>
      <c r="AO33" s="80"/>
      <c r="AP33" s="80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9"/>
      <c r="BI33" s="5"/>
    </row>
    <row r="34" spans="2:61" ht="7.5" customHeight="1">
      <c r="B34" s="4"/>
      <c r="C34" s="92"/>
      <c r="D34" s="93"/>
      <c r="E34" s="93"/>
      <c r="F34" s="93"/>
      <c r="G34" s="93"/>
      <c r="H34" s="93"/>
      <c r="I34" s="93"/>
      <c r="J34" s="93"/>
      <c r="K34" s="93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81"/>
      <c r="AN34" s="81"/>
      <c r="AO34" s="81"/>
      <c r="AP34" s="81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9"/>
      <c r="BI34" s="5"/>
    </row>
    <row r="35" spans="2:61" ht="7.5" customHeight="1">
      <c r="B35" s="4"/>
      <c r="C35" s="18"/>
      <c r="D35" s="14"/>
      <c r="E35" s="14"/>
      <c r="F35" s="14"/>
      <c r="G35" s="14"/>
      <c r="H35" s="14"/>
      <c r="I35" s="14"/>
      <c r="J35" s="14"/>
      <c r="K35" s="14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9" t="s">
        <v>5</v>
      </c>
      <c r="AN35" s="100"/>
      <c r="AO35" s="100"/>
      <c r="AP35" s="101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0"/>
      <c r="BF35" s="111"/>
      <c r="BG35" s="111"/>
      <c r="BH35" s="112"/>
      <c r="BI35" s="5"/>
    </row>
    <row r="36" spans="2:61" ht="7.5" customHeight="1">
      <c r="B36" s="4"/>
      <c r="C36" s="18"/>
      <c r="D36" s="14"/>
      <c r="E36" s="14"/>
      <c r="F36" s="14"/>
      <c r="G36" s="14"/>
      <c r="H36" s="14"/>
      <c r="I36" s="14"/>
      <c r="J36" s="14"/>
      <c r="K36" s="14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102"/>
      <c r="AN36" s="103"/>
      <c r="AO36" s="103"/>
      <c r="AP36" s="104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3"/>
      <c r="BF36" s="114"/>
      <c r="BG36" s="114"/>
      <c r="BH36" s="115"/>
      <c r="BI36" s="5"/>
    </row>
    <row r="37" spans="2:61" ht="7.5" customHeight="1">
      <c r="B37" s="4"/>
      <c r="C37" s="20"/>
      <c r="D37" s="21"/>
      <c r="E37" s="21"/>
      <c r="F37" s="21"/>
      <c r="G37" s="21"/>
      <c r="H37" s="21"/>
      <c r="I37" s="21"/>
      <c r="J37" s="21"/>
      <c r="K37" s="21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105"/>
      <c r="AN37" s="106"/>
      <c r="AO37" s="106"/>
      <c r="AP37" s="107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6"/>
      <c r="BF37" s="117"/>
      <c r="BG37" s="117"/>
      <c r="BH37" s="118"/>
      <c r="BI37" s="5"/>
    </row>
    <row r="38" spans="2:61" ht="7.5" customHeight="1">
      <c r="B38" s="4"/>
      <c r="C38" s="90" t="s">
        <v>7</v>
      </c>
      <c r="D38" s="91"/>
      <c r="E38" s="91"/>
      <c r="F38" s="91"/>
      <c r="G38" s="91"/>
      <c r="H38" s="91"/>
      <c r="I38" s="91"/>
      <c r="J38" s="23"/>
      <c r="K38" s="23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108"/>
      <c r="BI38" s="5"/>
    </row>
    <row r="39" spans="2:61" ht="7.5" customHeight="1">
      <c r="B39" s="4"/>
      <c r="C39" s="92"/>
      <c r="D39" s="93"/>
      <c r="E39" s="93"/>
      <c r="F39" s="93"/>
      <c r="G39" s="93"/>
      <c r="H39" s="93"/>
      <c r="I39" s="93"/>
      <c r="J39" s="17"/>
      <c r="K39" s="17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109"/>
      <c r="BI39" s="5"/>
    </row>
    <row r="40" spans="2:61" ht="7.5" customHeight="1">
      <c r="B40" s="4"/>
      <c r="C40" s="18"/>
      <c r="D40" s="14"/>
      <c r="E40" s="14"/>
      <c r="F40" s="14"/>
      <c r="G40" s="14"/>
      <c r="H40" s="14"/>
      <c r="I40" s="14"/>
      <c r="J40" s="17"/>
      <c r="K40" s="17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109"/>
      <c r="BI40" s="5"/>
    </row>
    <row r="41" spans="2:61" ht="7.5" customHeight="1">
      <c r="B41" s="4"/>
      <c r="C41" s="18"/>
      <c r="D41" s="14"/>
      <c r="E41" s="14"/>
      <c r="F41" s="14"/>
      <c r="G41" s="14"/>
      <c r="H41" s="14"/>
      <c r="I41" s="14"/>
      <c r="J41" s="17"/>
      <c r="K41" s="17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109"/>
      <c r="BI41" s="5"/>
    </row>
    <row r="42" spans="2:61" ht="7.5" customHeight="1">
      <c r="B42" s="4"/>
      <c r="C42" s="18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7"/>
      <c r="AJ42" s="17"/>
      <c r="AK42" s="17"/>
      <c r="AL42" s="15"/>
      <c r="AM42" s="99" t="s">
        <v>3</v>
      </c>
      <c r="AN42" s="100"/>
      <c r="AO42" s="100"/>
      <c r="AP42" s="101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5"/>
    </row>
    <row r="43" spans="2:61" ht="7.5" customHeight="1">
      <c r="B43" s="4"/>
      <c r="C43" s="18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7"/>
      <c r="AI43" s="17"/>
      <c r="AJ43" s="17"/>
      <c r="AK43" s="17"/>
      <c r="AL43" s="15"/>
      <c r="AM43" s="102"/>
      <c r="AN43" s="103"/>
      <c r="AO43" s="103"/>
      <c r="AP43" s="104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5"/>
    </row>
    <row r="44" spans="2:61" ht="7.5" customHeight="1">
      <c r="B44" s="4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2"/>
      <c r="AI44" s="22"/>
      <c r="AJ44" s="22"/>
      <c r="AK44" s="22"/>
      <c r="AL44" s="16"/>
      <c r="AM44" s="105"/>
      <c r="AN44" s="106"/>
      <c r="AO44" s="106"/>
      <c r="AP44" s="10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5"/>
    </row>
    <row r="45" spans="2:61" ht="7.5" customHeight="1">
      <c r="B45" s="4"/>
      <c r="C45" s="90" t="s">
        <v>8</v>
      </c>
      <c r="D45" s="91"/>
      <c r="E45" s="91"/>
      <c r="F45" s="91"/>
      <c r="G45" s="91"/>
      <c r="H45" s="91"/>
      <c r="I45" s="91"/>
      <c r="J45" s="91"/>
      <c r="K45" s="91"/>
      <c r="L45" s="91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108"/>
      <c r="BI45" s="5"/>
    </row>
    <row r="46" spans="2:61" ht="7.5" customHeight="1">
      <c r="B46" s="4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109"/>
      <c r="BI46" s="5"/>
    </row>
    <row r="47" spans="2:61" ht="7.5" customHeight="1">
      <c r="B47" s="4"/>
      <c r="C47" s="18"/>
      <c r="D47" s="14"/>
      <c r="E47" s="14"/>
      <c r="F47" s="14"/>
      <c r="G47" s="14"/>
      <c r="H47" s="14"/>
      <c r="I47" s="14"/>
      <c r="J47" s="14"/>
      <c r="K47" s="14"/>
      <c r="L47" s="14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109"/>
      <c r="BI47" s="5"/>
    </row>
    <row r="48" spans="2:61" ht="7.5" customHeight="1">
      <c r="B48" s="4"/>
      <c r="C48" s="18"/>
      <c r="D48" s="14"/>
      <c r="E48" s="14"/>
      <c r="F48" s="14"/>
      <c r="G48" s="14"/>
      <c r="H48" s="14"/>
      <c r="I48" s="14"/>
      <c r="J48" s="14"/>
      <c r="K48" s="14"/>
      <c r="L48" s="14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109"/>
      <c r="BI48" s="5"/>
    </row>
    <row r="49" spans="2:61" ht="7.5" customHeight="1">
      <c r="B49" s="4"/>
      <c r="C49" s="18"/>
      <c r="D49" s="14"/>
      <c r="E49" s="14"/>
      <c r="F49" s="14"/>
      <c r="G49" s="14"/>
      <c r="H49" s="14"/>
      <c r="I49" s="14"/>
      <c r="J49" s="14"/>
      <c r="K49" s="14"/>
      <c r="L49" s="14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109"/>
      <c r="BI49" s="5"/>
    </row>
    <row r="50" spans="2:61" ht="7.5" customHeight="1">
      <c r="B50" s="4"/>
      <c r="C50" s="18"/>
      <c r="D50" s="14"/>
      <c r="E50" s="14"/>
      <c r="F50" s="14"/>
      <c r="G50" s="14"/>
      <c r="H50" s="14"/>
      <c r="I50" s="14"/>
      <c r="J50" s="14"/>
      <c r="K50" s="14"/>
      <c r="L50" s="14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109"/>
      <c r="BI50" s="5"/>
    </row>
    <row r="51" spans="2:61" ht="7.5" customHeight="1">
      <c r="B51" s="4"/>
      <c r="C51" s="18"/>
      <c r="D51" s="14"/>
      <c r="E51" s="14"/>
      <c r="F51" s="14"/>
      <c r="G51" s="14"/>
      <c r="H51" s="14"/>
      <c r="I51" s="14"/>
      <c r="J51" s="14"/>
      <c r="K51" s="14"/>
      <c r="L51" s="14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109"/>
      <c r="BI51" s="5"/>
    </row>
    <row r="52" spans="2:61" ht="7.5" customHeight="1">
      <c r="B52" s="4"/>
      <c r="C52" s="18"/>
      <c r="D52" s="14"/>
      <c r="E52" s="14"/>
      <c r="F52" s="14"/>
      <c r="G52" s="14"/>
      <c r="H52" s="14"/>
      <c r="I52" s="14"/>
      <c r="J52" s="14"/>
      <c r="K52" s="14"/>
      <c r="L52" s="14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109"/>
      <c r="BI52" s="5"/>
    </row>
    <row r="53" spans="2:61" ht="7.5" customHeight="1">
      <c r="B53" s="4"/>
      <c r="C53" s="18"/>
      <c r="D53" s="14"/>
      <c r="E53" s="14"/>
      <c r="F53" s="14"/>
      <c r="G53" s="14"/>
      <c r="H53" s="14"/>
      <c r="I53" s="14"/>
      <c r="J53" s="14"/>
      <c r="K53" s="14"/>
      <c r="L53" s="14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109"/>
      <c r="BI53" s="5"/>
    </row>
    <row r="54" spans="2:61" ht="7.5" customHeight="1">
      <c r="B54" s="4"/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120"/>
      <c r="BI54" s="5"/>
    </row>
    <row r="55" spans="2:61" ht="7.5" customHeight="1">
      <c r="B55" s="4"/>
      <c r="C55" s="98" t="s">
        <v>9</v>
      </c>
      <c r="D55" s="98"/>
      <c r="E55" s="98"/>
      <c r="F55" s="98"/>
      <c r="G55" s="98"/>
      <c r="H55" s="98"/>
      <c r="I55" s="98"/>
      <c r="J55" s="98"/>
      <c r="K55" s="98"/>
      <c r="L55" s="98"/>
      <c r="M55" s="98" t="s">
        <v>10</v>
      </c>
      <c r="N55" s="98"/>
      <c r="O55" s="98"/>
      <c r="P55" s="98"/>
      <c r="Q55" s="98"/>
      <c r="R55" s="98"/>
      <c r="S55" s="98"/>
      <c r="T55" s="98"/>
      <c r="U55" s="98"/>
      <c r="V55" s="98"/>
      <c r="W55" s="98" t="s">
        <v>11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 t="s">
        <v>12</v>
      </c>
      <c r="AH55" s="98"/>
      <c r="AI55" s="98"/>
      <c r="AJ55" s="98"/>
      <c r="AK55" s="98"/>
      <c r="AL55" s="98"/>
      <c r="AM55" s="98"/>
      <c r="AN55" s="98"/>
      <c r="AO55" s="98"/>
      <c r="AP55" s="98"/>
      <c r="AQ55" s="98" t="s">
        <v>13</v>
      </c>
      <c r="AR55" s="98"/>
      <c r="AS55" s="98"/>
      <c r="AT55" s="98"/>
      <c r="AU55" s="98"/>
      <c r="AV55" s="98"/>
      <c r="AW55" s="98"/>
      <c r="AX55" s="98"/>
      <c r="AY55" s="98" t="s">
        <v>61</v>
      </c>
      <c r="AZ55" s="98"/>
      <c r="BA55" s="98"/>
      <c r="BB55" s="98"/>
      <c r="BC55" s="98"/>
      <c r="BD55" s="98"/>
      <c r="BE55" s="98"/>
      <c r="BF55" s="98"/>
      <c r="BG55" s="98"/>
      <c r="BH55" s="98"/>
      <c r="BI55" s="5"/>
    </row>
    <row r="56" spans="2:61" ht="7.5" customHeight="1">
      <c r="B56" s="4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5"/>
    </row>
    <row r="57" spans="2:61" ht="7.5" customHeight="1">
      <c r="B57" s="4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110"/>
      <c r="AZ57" s="111"/>
      <c r="BA57" s="111"/>
      <c r="BB57" s="111"/>
      <c r="BC57" s="111"/>
      <c r="BD57" s="111"/>
      <c r="BE57" s="111"/>
      <c r="BF57" s="111"/>
      <c r="BG57" s="111"/>
      <c r="BH57" s="112"/>
      <c r="BI57" s="5"/>
    </row>
    <row r="58" spans="2:61" ht="7.5" customHeight="1">
      <c r="B58" s="4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116"/>
      <c r="AZ58" s="117"/>
      <c r="BA58" s="117"/>
      <c r="BB58" s="117"/>
      <c r="BC58" s="117"/>
      <c r="BD58" s="117"/>
      <c r="BE58" s="117"/>
      <c r="BF58" s="117"/>
      <c r="BG58" s="117"/>
      <c r="BH58" s="118"/>
      <c r="BI58" s="5"/>
    </row>
    <row r="59" spans="2:61" ht="7.5" customHeight="1">
      <c r="B59" s="4"/>
      <c r="C59" s="83" t="s">
        <v>66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 t="s">
        <v>67</v>
      </c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5"/>
    </row>
    <row r="60" spans="2:61" ht="7.5" customHeight="1">
      <c r="B60" s="4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5"/>
    </row>
    <row r="61" spans="2:61" ht="7.5" customHeight="1">
      <c r="B61" s="4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5"/>
    </row>
    <row r="62" spans="2:61" ht="7.5" customHeight="1">
      <c r="B62" s="4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5"/>
    </row>
    <row r="63" spans="2:61" ht="7.5" customHeight="1">
      <c r="B63" s="4"/>
      <c r="C63" s="84" t="s">
        <v>14</v>
      </c>
      <c r="D63" s="85"/>
      <c r="E63" s="85"/>
      <c r="F63" s="85"/>
      <c r="G63" s="85"/>
      <c r="H63" s="85"/>
      <c r="I63" s="85"/>
      <c r="J63" s="85"/>
      <c r="K63" s="85"/>
      <c r="L63" s="86"/>
      <c r="M63" s="83" t="s">
        <v>69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4" t="s">
        <v>68</v>
      </c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6"/>
      <c r="BI63" s="5"/>
    </row>
    <row r="64" spans="2:61" ht="7.5" customHeight="1">
      <c r="B64" s="4"/>
      <c r="C64" s="87"/>
      <c r="D64" s="88"/>
      <c r="E64" s="88"/>
      <c r="F64" s="88"/>
      <c r="G64" s="88"/>
      <c r="H64" s="88"/>
      <c r="I64" s="88"/>
      <c r="J64" s="88"/>
      <c r="K64" s="88"/>
      <c r="L64" s="89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7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9"/>
      <c r="BI64" s="5"/>
    </row>
    <row r="65" spans="2:61" ht="7.5" customHeight="1">
      <c r="B65" s="4"/>
      <c r="C65" s="84"/>
      <c r="D65" s="85"/>
      <c r="E65" s="85"/>
      <c r="F65" s="85"/>
      <c r="G65" s="85"/>
      <c r="H65" s="85"/>
      <c r="I65" s="85"/>
      <c r="J65" s="85"/>
      <c r="K65" s="85"/>
      <c r="L65" s="86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4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6"/>
      <c r="BI65" s="5"/>
    </row>
    <row r="66" spans="2:61" ht="7.5" customHeight="1">
      <c r="B66" s="4"/>
      <c r="C66" s="87"/>
      <c r="D66" s="88"/>
      <c r="E66" s="88"/>
      <c r="F66" s="88"/>
      <c r="G66" s="88"/>
      <c r="H66" s="88"/>
      <c r="I66" s="88"/>
      <c r="J66" s="88"/>
      <c r="K66" s="88"/>
      <c r="L66" s="89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7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9"/>
      <c r="BI66" s="5"/>
    </row>
    <row r="67" spans="2:61" ht="7.5" customHeight="1">
      <c r="B67" s="4"/>
      <c r="C67" s="83" t="s">
        <v>66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 t="s">
        <v>67</v>
      </c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5"/>
    </row>
    <row r="68" spans="2:61" ht="7.5" customHeight="1">
      <c r="B68" s="4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5"/>
    </row>
    <row r="69" spans="2:61" ht="7.5" customHeight="1">
      <c r="B69" s="4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5"/>
    </row>
    <row r="70" spans="2:61" ht="7.5" customHeight="1">
      <c r="B70" s="4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5"/>
    </row>
    <row r="71" spans="2:61" ht="7.5" customHeight="1">
      <c r="B71" s="4"/>
      <c r="C71" s="84" t="s">
        <v>14</v>
      </c>
      <c r="D71" s="85"/>
      <c r="E71" s="85"/>
      <c r="F71" s="85"/>
      <c r="G71" s="85"/>
      <c r="H71" s="85"/>
      <c r="I71" s="85"/>
      <c r="J71" s="85"/>
      <c r="K71" s="85"/>
      <c r="L71" s="86"/>
      <c r="M71" s="83" t="s">
        <v>69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4" t="s">
        <v>68</v>
      </c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6"/>
      <c r="BI71" s="5"/>
    </row>
    <row r="72" spans="2:61" ht="7.5" customHeight="1">
      <c r="B72" s="4"/>
      <c r="C72" s="87"/>
      <c r="D72" s="88"/>
      <c r="E72" s="88"/>
      <c r="F72" s="88"/>
      <c r="G72" s="88"/>
      <c r="H72" s="88"/>
      <c r="I72" s="88"/>
      <c r="J72" s="88"/>
      <c r="K72" s="88"/>
      <c r="L72" s="89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7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9"/>
      <c r="BI72" s="5"/>
    </row>
    <row r="73" spans="2:61" ht="7.5" customHeight="1">
      <c r="B73" s="4"/>
      <c r="C73" s="84"/>
      <c r="D73" s="85"/>
      <c r="E73" s="85"/>
      <c r="F73" s="85"/>
      <c r="G73" s="85"/>
      <c r="H73" s="85"/>
      <c r="I73" s="85"/>
      <c r="J73" s="85"/>
      <c r="K73" s="85"/>
      <c r="L73" s="86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4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6"/>
      <c r="BI73" s="5"/>
    </row>
    <row r="74" spans="2:61" ht="7.5" customHeight="1">
      <c r="B74" s="4"/>
      <c r="C74" s="87"/>
      <c r="D74" s="88"/>
      <c r="E74" s="88"/>
      <c r="F74" s="88"/>
      <c r="G74" s="88"/>
      <c r="H74" s="88"/>
      <c r="I74" s="88"/>
      <c r="J74" s="88"/>
      <c r="K74" s="88"/>
      <c r="L74" s="89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7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9"/>
      <c r="BI74" s="5"/>
    </row>
    <row r="75" spans="2:61" ht="7.5" customHeight="1">
      <c r="B75" s="4"/>
      <c r="C75" s="83" t="s">
        <v>66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 t="s">
        <v>67</v>
      </c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5"/>
    </row>
    <row r="76" spans="2:61" ht="7.5" customHeight="1">
      <c r="B76" s="4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5"/>
    </row>
    <row r="77" spans="2:61" ht="7.5" customHeight="1">
      <c r="B77" s="4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5"/>
    </row>
    <row r="78" spans="2:61" ht="7.5" customHeight="1">
      <c r="B78" s="4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5"/>
    </row>
    <row r="79" spans="2:61" ht="7.5" customHeight="1">
      <c r="B79" s="4"/>
      <c r="C79" s="84" t="s">
        <v>14</v>
      </c>
      <c r="D79" s="85"/>
      <c r="E79" s="85"/>
      <c r="F79" s="85"/>
      <c r="G79" s="85"/>
      <c r="H79" s="85"/>
      <c r="I79" s="85"/>
      <c r="J79" s="85"/>
      <c r="K79" s="85"/>
      <c r="L79" s="86"/>
      <c r="M79" s="83" t="s">
        <v>69</v>
      </c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4" t="s">
        <v>68</v>
      </c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6"/>
      <c r="BI79" s="5"/>
    </row>
    <row r="80" spans="2:61" ht="7.5" customHeight="1">
      <c r="B80" s="4"/>
      <c r="C80" s="87"/>
      <c r="D80" s="88"/>
      <c r="E80" s="88"/>
      <c r="F80" s="88"/>
      <c r="G80" s="88"/>
      <c r="H80" s="88"/>
      <c r="I80" s="88"/>
      <c r="J80" s="88"/>
      <c r="K80" s="88"/>
      <c r="L80" s="89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7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9"/>
      <c r="BI80" s="5"/>
    </row>
    <row r="81" spans="2:61" ht="7.5" customHeight="1">
      <c r="B81" s="4"/>
      <c r="C81" s="84"/>
      <c r="D81" s="85"/>
      <c r="E81" s="85"/>
      <c r="F81" s="85"/>
      <c r="G81" s="85"/>
      <c r="H81" s="85"/>
      <c r="I81" s="85"/>
      <c r="J81" s="85"/>
      <c r="K81" s="85"/>
      <c r="L81" s="86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4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6"/>
      <c r="BI81" s="5"/>
    </row>
    <row r="82" spans="2:61" ht="7.5" customHeight="1">
      <c r="B82" s="4"/>
      <c r="C82" s="87"/>
      <c r="D82" s="88"/>
      <c r="E82" s="88"/>
      <c r="F82" s="88"/>
      <c r="G82" s="88"/>
      <c r="H82" s="88"/>
      <c r="I82" s="88"/>
      <c r="J82" s="88"/>
      <c r="K82" s="88"/>
      <c r="L82" s="89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7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9"/>
      <c r="BI82" s="5"/>
    </row>
    <row r="83" spans="2:61" s="9" customFormat="1" ht="7.5" customHeight="1">
      <c r="B83" s="7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8"/>
    </row>
    <row r="84" spans="2:61" s="9" customFormat="1" ht="7.5" customHeight="1">
      <c r="B84" s="7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8"/>
    </row>
    <row r="85" spans="2:61" s="9" customFormat="1" ht="7.5" customHeight="1">
      <c r="B85" s="7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8"/>
    </row>
    <row r="86" spans="2:61" s="9" customFormat="1" ht="7.5" customHeight="1">
      <c r="B86" s="7"/>
      <c r="C86" s="15" t="s">
        <v>60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 t="s">
        <v>15</v>
      </c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8"/>
    </row>
    <row r="87" spans="2:61" s="9" customFormat="1" ht="7.5" customHeight="1"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8"/>
    </row>
    <row r="88" spans="2:61" s="9" customFormat="1" ht="7.5" customHeight="1">
      <c r="B88" s="7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8"/>
    </row>
    <row r="89" spans="2:61" ht="7.5" customHeight="1" thickBo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2"/>
    </row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</sheetData>
  <sheetProtection/>
  <mergeCells count="78">
    <mergeCell ref="C81:L82"/>
    <mergeCell ref="M81:AC82"/>
    <mergeCell ref="AD81:BH82"/>
    <mergeCell ref="C75:AF76"/>
    <mergeCell ref="AG75:BH76"/>
    <mergeCell ref="C77:AF78"/>
    <mergeCell ref="AG77:BH78"/>
    <mergeCell ref="C79:L80"/>
    <mergeCell ref="M79:AC80"/>
    <mergeCell ref="AD79:BH80"/>
    <mergeCell ref="C71:L72"/>
    <mergeCell ref="M71:AC72"/>
    <mergeCell ref="AD71:BH72"/>
    <mergeCell ref="C73:L74"/>
    <mergeCell ref="M73:AC74"/>
    <mergeCell ref="AD73:BH74"/>
    <mergeCell ref="C67:AF68"/>
    <mergeCell ref="AG67:BH68"/>
    <mergeCell ref="C69:AF70"/>
    <mergeCell ref="AG69:BH70"/>
    <mergeCell ref="AQ55:AX56"/>
    <mergeCell ref="AQ57:AX58"/>
    <mergeCell ref="AY55:BH56"/>
    <mergeCell ref="AY57:BH58"/>
    <mergeCell ref="C59:AF60"/>
    <mergeCell ref="AG59:BH60"/>
    <mergeCell ref="C61:AF62"/>
    <mergeCell ref="AG61:BH62"/>
    <mergeCell ref="C55:L56"/>
    <mergeCell ref="C57:L58"/>
    <mergeCell ref="M55:V56"/>
    <mergeCell ref="M57:V58"/>
    <mergeCell ref="W55:AF56"/>
    <mergeCell ref="B1:BI1"/>
    <mergeCell ref="AF11:AH12"/>
    <mergeCell ref="AI11:BA12"/>
    <mergeCell ref="BB11:BH12"/>
    <mergeCell ref="AW3:BH3"/>
    <mergeCell ref="C11:M12"/>
    <mergeCell ref="N11:AE12"/>
    <mergeCell ref="AQ30:BD32"/>
    <mergeCell ref="BE30:BH32"/>
    <mergeCell ref="C18:F20"/>
    <mergeCell ref="G18:S20"/>
    <mergeCell ref="AU18:BH20"/>
    <mergeCell ref="L21:BH24"/>
    <mergeCell ref="AM25:AP27"/>
    <mergeCell ref="AQ25:BH27"/>
    <mergeCell ref="M45:BH54"/>
    <mergeCell ref="AG18:AT20"/>
    <mergeCell ref="C13:J14"/>
    <mergeCell ref="C33:K34"/>
    <mergeCell ref="AM35:AP37"/>
    <mergeCell ref="AB18:AF20"/>
    <mergeCell ref="K13:BH17"/>
    <mergeCell ref="T18:W20"/>
    <mergeCell ref="X18:AA20"/>
    <mergeCell ref="AM30:AP32"/>
    <mergeCell ref="L28:AL32"/>
    <mergeCell ref="W57:AF58"/>
    <mergeCell ref="AG57:AP58"/>
    <mergeCell ref="AG55:AP56"/>
    <mergeCell ref="AM42:AP44"/>
    <mergeCell ref="L38:BH41"/>
    <mergeCell ref="BE35:BH37"/>
    <mergeCell ref="L33:AL37"/>
    <mergeCell ref="AQ35:BD37"/>
    <mergeCell ref="AQ42:BH44"/>
    <mergeCell ref="M63:AC64"/>
    <mergeCell ref="M65:AC66"/>
    <mergeCell ref="AD63:BH64"/>
    <mergeCell ref="AD65:BH66"/>
    <mergeCell ref="C38:I39"/>
    <mergeCell ref="C21:I22"/>
    <mergeCell ref="C45:L46"/>
    <mergeCell ref="C65:L66"/>
    <mergeCell ref="C63:L64"/>
    <mergeCell ref="C28:K29"/>
  </mergeCells>
  <dataValidations count="1">
    <dataValidation type="list" allowBlank="1" showInputMessage="1" showErrorMessage="1" sqref="DM10">
      <formula1>$BP$17:$BP$24</formula1>
    </dataValidation>
  </dataValidations>
  <printOptions horizontalCentered="1"/>
  <pageMargins left="0.7480314960629921" right="0.35433070866141736" top="0.3937007874015748" bottom="0.3937007874015748" header="0.1968503937007874" footer="0.1968503937007874"/>
  <pageSetup horizontalDpi="300" verticalDpi="300" orientation="portrait" paperSize="9" scale="94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3:AX87"/>
  <sheetViews>
    <sheetView zoomScalePageLayoutView="0" workbookViewId="0" topLeftCell="A1">
      <selection activeCell="A1" sqref="A1"/>
    </sheetView>
  </sheetViews>
  <sheetFormatPr defaultColWidth="9.00390625" defaultRowHeight="12.75"/>
  <sheetData>
    <row r="50" s="67" customFormat="1" ht="12.75" hidden="1"/>
    <row r="51" s="67" customFormat="1" ht="12.75" hidden="1"/>
    <row r="52" s="67" customFormat="1" ht="12" customHeight="1" hidden="1"/>
    <row r="53" s="67" customFormat="1" ht="12" customHeight="1" hidden="1">
      <c r="I53" s="68"/>
    </row>
    <row r="54" spans="4:48" s="69" customFormat="1" ht="12" customHeight="1" hidden="1">
      <c r="D54" s="69">
        <f>IF(D57&lt;=D58,"",MID(I71,D55+1,90))</f>
      </c>
      <c r="I54" s="70">
        <f>INT(J54)</f>
        <v>456</v>
      </c>
      <c r="J54" s="71">
        <f>'Платежный ордер'!AU18</f>
        <v>456.88</v>
      </c>
      <c r="P54" s="69">
        <f>IF(P57&lt;=P58,"",MID(U71,P55+1,90))</f>
      </c>
      <c r="U54" s="70">
        <f>INT(V54)</f>
        <v>456</v>
      </c>
      <c r="V54" s="70">
        <f>'Платежный ордер'!AU18</f>
        <v>456.88</v>
      </c>
      <c r="AC54" s="69">
        <f>IF(AC57&lt;=AC58,"",MID(AH71,AC55+1,90))</f>
      </c>
      <c r="AH54" s="71">
        <f>INT(AI54)</f>
        <v>456</v>
      </c>
      <c r="AI54" s="70">
        <f>'Платежный ордер'!AU18</f>
        <v>456.88</v>
      </c>
      <c r="AP54" s="69">
        <f>IF(AP57&lt;=AP58,"",MID(AU71,AP55+1,90))</f>
      </c>
      <c r="AU54" s="71">
        <f>INT(AV54)</f>
        <v>456</v>
      </c>
      <c r="AV54" s="71">
        <f>'Платежный ордер'!AU18</f>
        <v>456.88</v>
      </c>
    </row>
    <row r="55" spans="4:48" s="69" customFormat="1" ht="12" customHeight="1" hidden="1">
      <c r="D55" s="69" t="e">
        <f>FIND(" ",I71,80)</f>
        <v>#VALUE!</v>
      </c>
      <c r="H55" s="69">
        <v>1</v>
      </c>
      <c r="I55" s="72">
        <f>I54-INT(I54/10)*10</f>
        <v>6</v>
      </c>
      <c r="J55" s="70">
        <f>ROUND((J54-I54)*100,0)</f>
        <v>88</v>
      </c>
      <c r="P55" s="69" t="e">
        <f>FIND(" ",U71,80)</f>
        <v>#VALUE!</v>
      </c>
      <c r="T55" s="69">
        <v>1</v>
      </c>
      <c r="U55" s="72">
        <f>U54-INT(U54/10)*10</f>
        <v>6</v>
      </c>
      <c r="V55" s="70">
        <f>ROUND((V54-U54)*100,0)</f>
        <v>88</v>
      </c>
      <c r="AC55" s="69" t="e">
        <f>FIND(" ",AH71,80)</f>
        <v>#VALUE!</v>
      </c>
      <c r="AG55" s="69">
        <v>1</v>
      </c>
      <c r="AH55" s="72">
        <f>AH54-INT(AH54/10)*10</f>
        <v>6</v>
      </c>
      <c r="AI55" s="70">
        <f>ROUND((AI54-AH54)*100,0)</f>
        <v>88</v>
      </c>
      <c r="AP55" s="69" t="e">
        <f>FIND(" ",AU71,80)</f>
        <v>#VALUE!</v>
      </c>
      <c r="AT55" s="69">
        <v>1</v>
      </c>
      <c r="AU55" s="72">
        <f>AU54-INT(AU54/10)*10</f>
        <v>6</v>
      </c>
      <c r="AV55" s="70">
        <f>ROUND((AV54-AU54)*100,0)</f>
        <v>88</v>
      </c>
    </row>
    <row r="56" spans="4:48" s="69" customFormat="1" ht="12" customHeight="1" hidden="1">
      <c r="D56" s="69" t="str">
        <f>IF(D57&gt;D58,LEFT(I71,D55-1),LEFT(I71,90))</f>
        <v> Четыреста пятьдесят шесть белорусских рублей 88 копеек</v>
      </c>
      <c r="H56" s="69">
        <v>2</v>
      </c>
      <c r="I56" s="73">
        <f>IF(AND(I55+I57&gt;=11,I55+I57&lt;=19),I55+I57,0)</f>
        <v>0</v>
      </c>
      <c r="J56" s="73">
        <f>INT(J55)</f>
        <v>88</v>
      </c>
      <c r="P56" s="69" t="str">
        <f>IF(P57&gt;P58,LEFT(U71,P55-1),LEFT(U71,90))</f>
        <v> Четыреста пятьдесят шесть российских рублей 88 копеек</v>
      </c>
      <c r="T56" s="69">
        <v>2</v>
      </c>
      <c r="U56" s="73">
        <f>IF(AND(U55+U57&gt;=11,U55+U57&lt;=19),U55+U57,0)</f>
        <v>0</v>
      </c>
      <c r="V56" s="73">
        <f>INT(V55)</f>
        <v>88</v>
      </c>
      <c r="AC56" s="69" t="str">
        <f>IF(AC57&gt;AC58,LEFT(AH71,AC55-1),LEFT(AH71,90))</f>
        <v> Четыреста пятьдесят шесть долларов 88 центов</v>
      </c>
      <c r="AG56" s="69">
        <v>2</v>
      </c>
      <c r="AH56" s="73">
        <f>IF(AND(AH55+AH57&gt;=11,AH55+AH57&lt;=19),AH55+AH57,0)</f>
        <v>0</v>
      </c>
      <c r="AI56" s="73">
        <f>INT(AI55)</f>
        <v>88</v>
      </c>
      <c r="AP56" s="69" t="str">
        <f>IF(AP57&gt;AP58,LEFT(AU71,AP55-1),LEFT(AU71,90))</f>
        <v> Четыреста пятьдесят шесть евро 88 евроцентов</v>
      </c>
      <c r="AT56" s="69">
        <v>2</v>
      </c>
      <c r="AU56" s="73">
        <f>IF(AND(AU55+AU57&gt;=11,AU55+AU57&lt;=19),AU55+AU57,0)</f>
        <v>0</v>
      </c>
      <c r="AV56" s="73">
        <f>INT(AV55)</f>
        <v>88</v>
      </c>
    </row>
    <row r="57" spans="4:48" s="69" customFormat="1" ht="12" customHeight="1" hidden="1">
      <c r="D57" s="69">
        <f>LEN(I71)</f>
        <v>55</v>
      </c>
      <c r="H57" s="69">
        <v>3</v>
      </c>
      <c r="I57" s="73">
        <f>I54-INT(I54/100)*100-I55</f>
        <v>50</v>
      </c>
      <c r="J57" s="73">
        <f>IF(J56=0,"",J56-INT(J56/10)*10)</f>
        <v>8</v>
      </c>
      <c r="P57" s="69">
        <f>LEN(U71)</f>
        <v>54</v>
      </c>
      <c r="T57" s="69">
        <v>3</v>
      </c>
      <c r="U57" s="73">
        <f>U54-INT(U54/100)*100-U55</f>
        <v>50</v>
      </c>
      <c r="V57" s="73">
        <f>IF(V56=0,"",V56-INT(V56/10)*10)</f>
        <v>8</v>
      </c>
      <c r="AC57" s="69">
        <f>LEN(AH71)</f>
        <v>45</v>
      </c>
      <c r="AG57" s="69">
        <v>3</v>
      </c>
      <c r="AH57" s="73">
        <f>AH54-INT(AH54/100)*100-AH55</f>
        <v>50</v>
      </c>
      <c r="AI57" s="73">
        <f>IF(AI56=0,"",AI56-INT(AI56/10)*10)</f>
        <v>8</v>
      </c>
      <c r="AP57" s="69">
        <f>LEN(AU71)</f>
        <v>45</v>
      </c>
      <c r="AT57" s="69">
        <v>3</v>
      </c>
      <c r="AU57" s="73">
        <f>AU54-INT(AU54/100)*100-AU55</f>
        <v>50</v>
      </c>
      <c r="AV57" s="73">
        <f>IF(AV56=0,"",AV56-INT(AV56/10)*10)</f>
        <v>8</v>
      </c>
    </row>
    <row r="58" spans="4:50" s="69" customFormat="1" ht="12" customHeight="1" hidden="1">
      <c r="D58" s="69">
        <v>90</v>
      </c>
      <c r="H58" s="69">
        <v>4</v>
      </c>
      <c r="I58" s="73">
        <f>I54-INT(I54/1000)*1000-I57-I55</f>
        <v>400</v>
      </c>
      <c r="J58" s="74">
        <f>IF(J56=0,"",J56)</f>
        <v>88</v>
      </c>
      <c r="K58" s="69">
        <v>0</v>
      </c>
      <c r="L58" s="69" t="s">
        <v>72</v>
      </c>
      <c r="P58" s="69">
        <v>90</v>
      </c>
      <c r="T58" s="69">
        <v>4</v>
      </c>
      <c r="U58" s="73">
        <f>U54-INT(U54/1000)*1000-U57-U55</f>
        <v>400</v>
      </c>
      <c r="V58" s="74">
        <f>IF(V56=0,"",V56)</f>
        <v>88</v>
      </c>
      <c r="W58" s="69">
        <v>0</v>
      </c>
      <c r="X58" s="69" t="s">
        <v>72</v>
      </c>
      <c r="AC58" s="69">
        <v>90</v>
      </c>
      <c r="AG58" s="69">
        <v>4</v>
      </c>
      <c r="AH58" s="73">
        <f>AH54-INT(AH54/1000)*1000-AH57-AH55</f>
        <v>400</v>
      </c>
      <c r="AI58" s="74">
        <f>IF(AI56=0,"",AI56)</f>
        <v>88</v>
      </c>
      <c r="AJ58" s="69">
        <v>0</v>
      </c>
      <c r="AK58" s="69" t="s">
        <v>72</v>
      </c>
      <c r="AP58" s="69">
        <v>90</v>
      </c>
      <c r="AT58" s="69">
        <v>4</v>
      </c>
      <c r="AU58" s="73">
        <f>AU54-INT(AU54/1000)*1000-AU57-AU55</f>
        <v>400</v>
      </c>
      <c r="AV58" s="74">
        <f>IF(AV56=0,"",AV56)</f>
        <v>88</v>
      </c>
      <c r="AW58" s="69">
        <v>0</v>
      </c>
      <c r="AX58" s="69" t="s">
        <v>72</v>
      </c>
    </row>
    <row r="59" spans="8:48" s="69" customFormat="1" ht="12" customHeight="1" hidden="1">
      <c r="H59" s="69">
        <v>5</v>
      </c>
      <c r="I59" s="73">
        <f>I54-INT(I54/10000)*10000-I57-I55-I58</f>
        <v>0</v>
      </c>
      <c r="J59" s="69">
        <f>I59/1000</f>
        <v>0</v>
      </c>
      <c r="T59" s="69">
        <v>5</v>
      </c>
      <c r="U59" s="73">
        <f>U54-INT(U54/10000)*10000-U57-U55-U58</f>
        <v>0</v>
      </c>
      <c r="V59" s="69">
        <f>U59/1000</f>
        <v>0</v>
      </c>
      <c r="AG59" s="69">
        <v>5</v>
      </c>
      <c r="AH59" s="73">
        <f>AH54-INT(AH54/10000)*10000-AH57-AH55-AH58</f>
        <v>0</v>
      </c>
      <c r="AI59" s="69">
        <f>AH59/1000</f>
        <v>0</v>
      </c>
      <c r="AT59" s="69">
        <v>5</v>
      </c>
      <c r="AU59" s="73">
        <f>AU54-INT(AU54/10000)*10000-AU57-AU55-AU58</f>
        <v>0</v>
      </c>
      <c r="AV59" s="69">
        <f>AU59/1000</f>
        <v>0</v>
      </c>
    </row>
    <row r="60" spans="8:48" s="69" customFormat="1" ht="12" customHeight="1" hidden="1">
      <c r="H60" s="69">
        <v>6</v>
      </c>
      <c r="J60" s="73">
        <f>IF(AND(J59+J61&gt;=11,J59+J61&lt;=19),J59+J61,0)</f>
        <v>0</v>
      </c>
      <c r="T60" s="69">
        <v>6</v>
      </c>
      <c r="V60" s="73">
        <f>IF(AND(V59+V61&gt;=11,V59+V61&lt;=19),V59+V61,0)</f>
        <v>0</v>
      </c>
      <c r="AG60" s="69">
        <v>6</v>
      </c>
      <c r="AI60" s="73">
        <f>IF(AND(AI59+AI61&gt;=11,AI59+AI61&lt;=19),AI59+AI61,0)</f>
        <v>0</v>
      </c>
      <c r="AT60" s="69">
        <v>6</v>
      </c>
      <c r="AV60" s="73">
        <f>IF(AND(AV59+AV61&gt;=11,AV59+AV61&lt;=19),AV59+AV61,0)</f>
        <v>0</v>
      </c>
    </row>
    <row r="61" spans="8:48" s="69" customFormat="1" ht="12" customHeight="1" hidden="1">
      <c r="H61" s="69">
        <v>7</v>
      </c>
      <c r="I61" s="73">
        <f>I54-INT(I54/100000)*100000-I57-I55-I58-I59</f>
        <v>0</v>
      </c>
      <c r="J61" s="69">
        <f>I61/1000</f>
        <v>0</v>
      </c>
      <c r="T61" s="69">
        <v>7</v>
      </c>
      <c r="U61" s="73">
        <f>U54-INT(U54/100000)*100000-U57-U55-U58-U59</f>
        <v>0</v>
      </c>
      <c r="V61" s="69">
        <f>U61/1000</f>
        <v>0</v>
      </c>
      <c r="AG61" s="69">
        <v>7</v>
      </c>
      <c r="AH61" s="73">
        <f>AH54-INT(AH54/100000)*100000-AH57-AH55-AH58-AH59</f>
        <v>0</v>
      </c>
      <c r="AI61" s="69">
        <f>AH61/1000</f>
        <v>0</v>
      </c>
      <c r="AT61" s="69">
        <v>7</v>
      </c>
      <c r="AU61" s="73">
        <f>AU54-INT(AU54/100000)*100000-AU57-AU55-AU58-AU59</f>
        <v>0</v>
      </c>
      <c r="AV61" s="69">
        <f>AU61/1000</f>
        <v>0</v>
      </c>
    </row>
    <row r="62" spans="8:48" s="69" customFormat="1" ht="12" customHeight="1" hidden="1">
      <c r="H62" s="69">
        <v>8</v>
      </c>
      <c r="I62" s="73">
        <f>I54-INT(I54/1000000)*1000000-I57-I55-I58-I59-I61</f>
        <v>0</v>
      </c>
      <c r="J62" s="69">
        <f>I62/1000</f>
        <v>0</v>
      </c>
      <c r="T62" s="69">
        <v>8</v>
      </c>
      <c r="U62" s="73">
        <f>U54-INT(U54/1000000)*1000000-U57-U55-U58-U59-U61</f>
        <v>0</v>
      </c>
      <c r="V62" s="69">
        <f>U62/1000</f>
        <v>0</v>
      </c>
      <c r="AG62" s="69">
        <v>8</v>
      </c>
      <c r="AH62" s="73">
        <f>AH54-INT(AH54/1000000)*1000000-AH57-AH55-AH58-AH59-AH61</f>
        <v>0</v>
      </c>
      <c r="AI62" s="69">
        <f>AH62/1000</f>
        <v>0</v>
      </c>
      <c r="AT62" s="69">
        <v>8</v>
      </c>
      <c r="AU62" s="73">
        <f>AU54-INT(AU54/1000000)*1000000-AU57-AU55-AU58-AU59-AU61</f>
        <v>0</v>
      </c>
      <c r="AV62" s="69">
        <f>AU62/1000</f>
        <v>0</v>
      </c>
    </row>
    <row r="63" spans="8:48" s="69" customFormat="1" ht="12" customHeight="1" hidden="1">
      <c r="H63" s="69">
        <v>9</v>
      </c>
      <c r="I63" s="73">
        <f>I54-INT(I54/10000000)*10000000-I57-I55-I58-I59-I61-I62</f>
        <v>0</v>
      </c>
      <c r="J63" s="69">
        <f>I63/1000000</f>
        <v>0</v>
      </c>
      <c r="T63" s="69">
        <v>9</v>
      </c>
      <c r="U63" s="73">
        <f>U54-INT(U54/10000000)*10000000-U57-U55-U58-U59-U61-U62</f>
        <v>0</v>
      </c>
      <c r="V63" s="69">
        <f>U63/1000000</f>
        <v>0</v>
      </c>
      <c r="AG63" s="69">
        <v>9</v>
      </c>
      <c r="AH63" s="73">
        <f>AH54-INT(AH54/10000000)*10000000-AH57-AH55-AH58-AH59-AH61-AH62</f>
        <v>0</v>
      </c>
      <c r="AI63" s="69">
        <f>AH63/1000000</f>
        <v>0</v>
      </c>
      <c r="AT63" s="69">
        <v>9</v>
      </c>
      <c r="AU63" s="73">
        <f>AU54-INT(AU54/10000000)*10000000-AU57-AU55-AU58-AU59-AU61-AU62</f>
        <v>0</v>
      </c>
      <c r="AV63" s="69">
        <f>AU63/1000000</f>
        <v>0</v>
      </c>
    </row>
    <row r="64" spans="8:48" s="69" customFormat="1" ht="12" customHeight="1" hidden="1">
      <c r="H64" s="69">
        <v>10</v>
      </c>
      <c r="J64" s="73">
        <f>IF(AND(J63+J65&gt;=11,J63+J65&lt;=19),J63+J65,0)</f>
        <v>0</v>
      </c>
      <c r="T64" s="69">
        <v>10</v>
      </c>
      <c r="V64" s="73">
        <f>IF(AND(V63+V65&gt;=11,V63+V65&lt;=19),V63+V65,0)</f>
        <v>0</v>
      </c>
      <c r="AG64" s="69">
        <v>10</v>
      </c>
      <c r="AI64" s="73">
        <f>IF(AND(AI63+AI65&gt;=11,AI63+AI65&lt;=19),AI63+AI65,0)</f>
        <v>0</v>
      </c>
      <c r="AT64" s="69">
        <v>10</v>
      </c>
      <c r="AV64" s="73">
        <f>IF(AND(AV63+AV65&gt;=11,AV63+AV65&lt;=19),AV63+AV65,0)</f>
        <v>0</v>
      </c>
    </row>
    <row r="65" spans="8:48" s="69" customFormat="1" ht="12" customHeight="1" hidden="1">
      <c r="H65" s="69">
        <v>11</v>
      </c>
      <c r="I65" s="73">
        <f>I54-INT(I54/100000000)*100000000-I57-I55-I58-I59-I61-I62-I63</f>
        <v>0</v>
      </c>
      <c r="J65" s="69">
        <f>I65/1000000</f>
        <v>0</v>
      </c>
      <c r="T65" s="69">
        <v>11</v>
      </c>
      <c r="U65" s="73">
        <f>U54-INT(U54/100000000)*100000000-U57-U55-U58-U59-U61-U62-U63</f>
        <v>0</v>
      </c>
      <c r="V65" s="69">
        <f>U65/1000000</f>
        <v>0</v>
      </c>
      <c r="AG65" s="69">
        <v>11</v>
      </c>
      <c r="AH65" s="73">
        <f>AH54-INT(AH54/100000000)*100000000-AH57-AH55-AH58-AH59-AH61-AH62-AH63</f>
        <v>0</v>
      </c>
      <c r="AI65" s="69">
        <f>AH65/1000000</f>
        <v>0</v>
      </c>
      <c r="AT65" s="69">
        <v>11</v>
      </c>
      <c r="AU65" s="73">
        <f>AU54-INT(AU54/100000000)*100000000-AU57-AU55-AU58-AU59-AU61-AU62-AU63</f>
        <v>0</v>
      </c>
      <c r="AV65" s="69">
        <f>AU65/1000000</f>
        <v>0</v>
      </c>
    </row>
    <row r="66" spans="8:48" s="69" customFormat="1" ht="12" customHeight="1" hidden="1">
      <c r="H66" s="69">
        <v>12</v>
      </c>
      <c r="I66" s="73">
        <f>I54-INT(I54/1000000000)*1000000000-I57-I55-I58-I59-I61-I62-I63-I65</f>
        <v>0</v>
      </c>
      <c r="J66" s="69">
        <f>I66/1000000</f>
        <v>0</v>
      </c>
      <c r="T66" s="69">
        <v>12</v>
      </c>
      <c r="U66" s="73">
        <f>U54-INT(U54/1000000000)*1000000000-U57-U55-U58-U59-U61-U62-U63-U65</f>
        <v>0</v>
      </c>
      <c r="V66" s="69">
        <f>U66/1000000</f>
        <v>0</v>
      </c>
      <c r="AG66" s="69">
        <v>12</v>
      </c>
      <c r="AH66" s="73">
        <f>AH54-INT(AH54/1000000000)*1000000000-AH57-AH55-AH58-AH59-AH61-AH62-AH63-AH65</f>
        <v>0</v>
      </c>
      <c r="AI66" s="69">
        <f>AH66/1000000</f>
        <v>0</v>
      </c>
      <c r="AT66" s="69">
        <v>12</v>
      </c>
      <c r="AU66" s="73">
        <f>AU54-INT(AU54/1000000000)*1000000000-AU57-AU55-AU58-AU59-AU61-AU62-AU63-AU65</f>
        <v>0</v>
      </c>
      <c r="AV66" s="69">
        <f>AU66/1000000</f>
        <v>0</v>
      </c>
    </row>
    <row r="67" spans="8:48" s="69" customFormat="1" ht="12" customHeight="1" hidden="1">
      <c r="H67" s="69">
        <v>13</v>
      </c>
      <c r="I67" s="73">
        <f>I54-INT(I54/10000000000)*10000000000-I57-I55-I58-I59-I61-I62-I63-I65-I66</f>
        <v>0</v>
      </c>
      <c r="J67" s="69">
        <f>I67/1000000000</f>
        <v>0</v>
      </c>
      <c r="T67" s="69">
        <v>13</v>
      </c>
      <c r="U67" s="73">
        <f>U54-INT(U54/10000000000)*10000000000-U57-U55-U58-U59-U61-U62-U63-U65-U66</f>
        <v>0</v>
      </c>
      <c r="V67" s="69">
        <f>U67/1000000000</f>
        <v>0</v>
      </c>
      <c r="AG67" s="69">
        <v>13</v>
      </c>
      <c r="AH67" s="73">
        <f>AH54-INT(AH54/10000000000)*10000000000-AH57-AH55-AH58-AH59-AH61-AH62-AH63-AH65-AH66</f>
        <v>0</v>
      </c>
      <c r="AI67" s="69">
        <f>AH67/1000000000</f>
        <v>0</v>
      </c>
      <c r="AT67" s="69">
        <v>13</v>
      </c>
      <c r="AU67" s="73">
        <f>AU54-INT(AU54/10000000000)*10000000000-AU57-AU55-AU58-AU59-AU61-AU62-AU63-AU65-AU66</f>
        <v>0</v>
      </c>
      <c r="AV67" s="69">
        <f>AU67/1000000000</f>
        <v>0</v>
      </c>
    </row>
    <row r="68" spans="8:48" s="69" customFormat="1" ht="12" customHeight="1" hidden="1">
      <c r="H68" s="69">
        <v>14</v>
      </c>
      <c r="I68" s="73"/>
      <c r="J68" s="73">
        <f>IF(AND(J67+J69&gt;=11,J67+J69&lt;=19),J67+J69,0)</f>
        <v>0</v>
      </c>
      <c r="T68" s="69">
        <v>14</v>
      </c>
      <c r="U68" s="73"/>
      <c r="V68" s="73">
        <f>IF(AND(V67+V69&gt;=11,V67+V69&lt;=19),V67+V69,0)</f>
        <v>0</v>
      </c>
      <c r="AG68" s="69">
        <v>14</v>
      </c>
      <c r="AH68" s="73"/>
      <c r="AI68" s="73">
        <f>IF(AND(AI67+AI69&gt;=11,AI67+AI69&lt;=19),AI67+AI69,0)</f>
        <v>0</v>
      </c>
      <c r="AT68" s="69">
        <v>14</v>
      </c>
      <c r="AU68" s="73"/>
      <c r="AV68" s="73">
        <f>IF(AND(AV67+AV69&gt;=11,AV67+AV69&lt;=19),AV67+AV69,0)</f>
        <v>0</v>
      </c>
    </row>
    <row r="69" spans="8:48" s="69" customFormat="1" ht="12" customHeight="1" hidden="1">
      <c r="H69" s="69">
        <v>15</v>
      </c>
      <c r="I69" s="73">
        <f>I54-INT(I54/100000000000)*100000000000-I57-I55-I58-I59-I61-I62-I63-I65-I66-I67</f>
        <v>0</v>
      </c>
      <c r="J69" s="69">
        <f>I69/1000000000</f>
        <v>0</v>
      </c>
      <c r="T69" s="69">
        <v>15</v>
      </c>
      <c r="U69" s="73">
        <f>U54-INT(U54/100000000000)*100000000000-U57-U55-U58-U59-U61-U62-U63-U65-U66-U67</f>
        <v>0</v>
      </c>
      <c r="V69" s="69">
        <f>U69/1000000000</f>
        <v>0</v>
      </c>
      <c r="AG69" s="69">
        <v>15</v>
      </c>
      <c r="AH69" s="73">
        <f>AH54-INT(AH54/100000000000)*100000000000-AH57-AH55-AH58-AH59-AH61-AH62-AH63-AH65-AH66-AH67</f>
        <v>0</v>
      </c>
      <c r="AI69" s="69">
        <f>AH69/1000000000</f>
        <v>0</v>
      </c>
      <c r="AT69" s="69">
        <v>15</v>
      </c>
      <c r="AU69" s="73">
        <f>AU54-INT(AU54/100000000000)*100000000000-AU57-AU55-AU58-AU59-AU61-AU62-AU63-AU65-AU66-AU67</f>
        <v>0</v>
      </c>
      <c r="AV69" s="69">
        <f>AU69/1000000000</f>
        <v>0</v>
      </c>
    </row>
    <row r="70" spans="8:48" s="69" customFormat="1" ht="12" customHeight="1" hidden="1">
      <c r="H70" s="69">
        <v>16</v>
      </c>
      <c r="I70" s="73">
        <f>I54-INT(I54/1000000000000)*1000000000000-I57-I55-I58-I59-I61-I62-I63-I65-I66-I67-I69</f>
        <v>0</v>
      </c>
      <c r="J70" s="69">
        <f>I70/1000000000</f>
        <v>0</v>
      </c>
      <c r="T70" s="69">
        <v>16</v>
      </c>
      <c r="U70" s="73">
        <f>U54-INT(U54/1000000000000)*1000000000000-U57-U55-U58-U59-U61-U62-U63-U65-U66-U67-U69</f>
        <v>0</v>
      </c>
      <c r="V70" s="69">
        <f>U70/1000000000</f>
        <v>0</v>
      </c>
      <c r="AG70" s="69">
        <v>16</v>
      </c>
      <c r="AH70" s="73">
        <f>AH54-INT(AH54/1000000000000)*1000000000000-AH57-AH55-AH58-AH59-AH61-AH62-AH63-AH65-AH66-AH67-AH69</f>
        <v>0</v>
      </c>
      <c r="AI70" s="69">
        <f>AH70/1000000000</f>
        <v>0</v>
      </c>
      <c r="AT70" s="69">
        <v>16</v>
      </c>
      <c r="AU70" s="73">
        <f>AU54-INT(AU54/1000000000000)*1000000000000-AU57-AU55-AU58-AU59-AU61-AU62-AU63-AU65-AU66-AU67-AU69</f>
        <v>0</v>
      </c>
      <c r="AV70" s="69">
        <f>AU70/1000000000</f>
        <v>0</v>
      </c>
    </row>
    <row r="71" spans="9:47" s="69" customFormat="1" ht="12" customHeight="1" hidden="1">
      <c r="I71" s="75" t="str">
        <f>IF(I54=0,"",IF(J58&lt;10,G87&amp;G86&amp;G85&amp;G84&amp;L84&amp;G83&amp;G82&amp;G81&amp;G80&amp;L80&amp;G79&amp;G78&amp;G77&amp;G76&amp;L76&amp;G75&amp;G74&amp;G73&amp;G72&amp;D76&amp;K58&amp;J58&amp;A76,G87&amp;G86&amp;G85&amp;G84&amp;L84&amp;G83&amp;G82&amp;G81&amp;G80&amp;L80&amp;G79&amp;G78&amp;G77&amp;G76&amp;L76&amp;G75&amp;G74&amp;G73&amp;G72&amp;D76&amp;J58&amp;A76))</f>
        <v> Четыреста пятьдесят шесть белорусских рублей 88 копеек</v>
      </c>
      <c r="U71" s="75" t="str">
        <f>IF(U54=0,"",IF(V58&lt;10,S87&amp;S86&amp;S85&amp;S84&amp;X84&amp;S83&amp;S82&amp;S81&amp;S80&amp;X80&amp;S79&amp;S78&amp;S77&amp;S76&amp;X76&amp;S75&amp;S74&amp;S73&amp;S72&amp;P76&amp;W58&amp;V58&amp;N76,S87&amp;S86&amp;S85&amp;S84&amp;X84&amp;S83&amp;S82&amp;S81&amp;S80&amp;X80&amp;S79&amp;S78&amp;S77&amp;S76&amp;X76&amp;S75&amp;S74&amp;S73&amp;S72&amp;P76&amp;V58&amp;N76))</f>
        <v> Четыреста пятьдесят шесть российских рублей 88 копеек</v>
      </c>
      <c r="AH71" s="75" t="str">
        <f>IF(AH54=0,"",IF(AI58&lt;10,AF87&amp;AF86&amp;AF85&amp;AF84&amp;AK84&amp;AF83&amp;AF82&amp;AF81&amp;AF80&amp;AK80&amp;AF79&amp;AF78&amp;AF77&amp;AF76&amp;AK76&amp;AF75&amp;AF74&amp;AF73&amp;AF72&amp;AC76&amp;AJ58&amp;AI58&amp;AA76,AF87&amp;AF86&amp;AF85&amp;AF84&amp;AK84&amp;AF83&amp;AF82&amp;AF81&amp;AF80&amp;AK80&amp;AF79&amp;AF78&amp;AF77&amp;AF76&amp;AK76&amp;AF75&amp;AF74&amp;AF73&amp;AF72&amp;AC76&amp;AI58&amp;AA76))</f>
        <v> Четыреста пятьдесят шесть долларов 88 центов</v>
      </c>
      <c r="AU71" s="75" t="str">
        <f>IF(AU54=0,"",IF(AV58&lt;10,AS87&amp;AS86&amp;AS85&amp;AS84&amp;AX84&amp;AS83&amp;AS82&amp;AS81&amp;AS80&amp;AX80&amp;AS79&amp;AS78&amp;AS77&amp;AS76&amp;AX76&amp;AS75&amp;AS74&amp;AS73&amp;AS72&amp;AP76&amp;AW58&amp;AV58&amp;AN76,AS87&amp;AS86&amp;AS85&amp;AS84&amp;AX84&amp;AS83&amp;AS82&amp;AS81&amp;AS80&amp;AX80&amp;AS79&amp;AS78&amp;AS77&amp;AS76&amp;AX76&amp;AS75&amp;AS74&amp;AS73&amp;AS72&amp;AP76&amp;AV58&amp;AN76))</f>
        <v> Четыреста пятьдесят шесть евро 88 евроцентов</v>
      </c>
    </row>
    <row r="72" spans="1:49" s="69" customFormat="1" ht="12" customHeight="1" hidden="1">
      <c r="A72" s="76">
        <f>IF(AND(J56&gt;=11,J56&lt;=19),"",IF(J57=1,B72,""))</f>
      </c>
      <c r="B72" s="69" t="s">
        <v>73</v>
      </c>
      <c r="D72" s="76">
        <f>IF(I56&gt;0,"",IF(I55=1,E72,""))</f>
      </c>
      <c r="E72" s="77" t="s">
        <v>74</v>
      </c>
      <c r="G72" s="69" t="str">
        <f>IF(SUM(I56:I70)=0,PROPER(I72),I72)</f>
        <v> шесть</v>
      </c>
      <c r="H72" s="69">
        <v>1</v>
      </c>
      <c r="I72" s="75" t="str">
        <f>IF(AND(I56&lt;20,I56&gt;10),"",J72&amp;K72)</f>
        <v> шесть</v>
      </c>
      <c r="J72" s="69" t="str">
        <f>IF(I55=1," один",IF(I55=2," два",IF(I55=3," три",IF(I55=4," четыре",IF(I55=5," пять",IF(I55=6," шесть",IF(I55=7," семь","")))))))</f>
        <v> шесть</v>
      </c>
      <c r="K72" s="69">
        <f>IF(I55=8," восемь",IF(I55=9," девять",""))</f>
      </c>
      <c r="N72" s="76">
        <f>IF(AND(V56&gt;=11,V56&lt;=19),"",IF(V57=1,O72,""))</f>
      </c>
      <c r="O72" s="69" t="s">
        <v>73</v>
      </c>
      <c r="P72" s="76">
        <f>IF(U56&gt;0,"",IF(U55=1,Q72,""))</f>
      </c>
      <c r="Q72" s="77" t="s">
        <v>75</v>
      </c>
      <c r="S72" s="69" t="str">
        <f>IF(SUM(U56:U70)=0,PROPER(U72),U72)</f>
        <v> шесть</v>
      </c>
      <c r="T72" s="69">
        <v>1</v>
      </c>
      <c r="U72" s="75" t="str">
        <f>IF(AND(U56&lt;20,U56&gt;10),"",V72&amp;W72)</f>
        <v> шесть</v>
      </c>
      <c r="V72" s="69" t="str">
        <f>IF(U55=1," один",IF(U55=2," два",IF(U55=3," три",IF(U55=4," четыре",IF(U55=5," пять",IF(U55=6," шесть",IF(U55=7," семь","")))))))</f>
        <v> шесть</v>
      </c>
      <c r="W72" s="69">
        <f>IF(U55=8," восемь",IF(U55=9," девять",""))</f>
      </c>
      <c r="AA72" s="76">
        <f>IF(AND(AI56&gt;=11,AI56&lt;=19),"",IF(AI57=1,AB72,""))</f>
      </c>
      <c r="AB72" s="69" t="s">
        <v>76</v>
      </c>
      <c r="AC72" s="76">
        <f>IF(AH56&gt;0,"",IF(AH55=1,AD72,""))</f>
      </c>
      <c r="AD72" s="77" t="s">
        <v>77</v>
      </c>
      <c r="AF72" s="69" t="str">
        <f>IF(SUM(AH56:AH70)=0,PROPER(AH72),AH72)</f>
        <v> шесть</v>
      </c>
      <c r="AG72" s="69">
        <v>1</v>
      </c>
      <c r="AH72" s="75" t="str">
        <f>IF(AND(AH56&lt;20,AH56&gt;10),"",AI72&amp;AJ72)</f>
        <v> шесть</v>
      </c>
      <c r="AI72" s="69" t="str">
        <f>IF(AH55=1," один",IF(AH55=2," два",IF(AH55=3," три",IF(AH55=4," четыре",IF(AH55=5," пять",IF(AH55=6," шесть",IF(AH55=7," семь","")))))))</f>
        <v> шесть</v>
      </c>
      <c r="AJ72" s="69">
        <f>IF(AH55=8," восемь",IF(AH55=9," девять",""))</f>
      </c>
      <c r="AN72" s="76">
        <f>IF(AND(AV56&gt;=11,AV56&lt;=19),"",IF(AV57=1,AO72,""))</f>
      </c>
      <c r="AO72" s="69" t="s">
        <v>78</v>
      </c>
      <c r="AP72" s="76"/>
      <c r="AQ72" s="77"/>
      <c r="AS72" s="69" t="str">
        <f>IF(SUM(AU56:AU70)=0,PROPER(AU72),AU72)</f>
        <v> шесть</v>
      </c>
      <c r="AT72" s="69">
        <v>1</v>
      </c>
      <c r="AU72" s="75" t="str">
        <f>IF(AND(AU56&lt;20,AU56&gt;10),"",AV72&amp;AW72)</f>
        <v> шесть</v>
      </c>
      <c r="AV72" s="69" t="str">
        <f>IF(AU55=1," один",IF(AU55=2," два",IF(AU55=3," три",IF(AU55=4," четыре",IF(AU55=5," пять",IF(AU55=6," шесть",IF(AU55=7," семь","")))))))</f>
        <v> шесть</v>
      </c>
      <c r="AW72" s="69">
        <f>IF(AU55=8," восемь",IF(AU55=9," девять",""))</f>
      </c>
    </row>
    <row r="73" spans="1:49" s="69" customFormat="1" ht="12" customHeight="1" hidden="1">
      <c r="A73" s="78">
        <f>IF(AND(J56&gt;=11,J56&lt;=19),"",IF(OR(J57=2,J57=3,J57=4),B73,""))</f>
      </c>
      <c r="B73" s="69" t="s">
        <v>79</v>
      </c>
      <c r="D73" s="78">
        <f>IF(I56&gt;0,"",IF(OR(I55=2,I55=3,I55=4),E73,""))</f>
      </c>
      <c r="E73" s="79" t="s">
        <v>80</v>
      </c>
      <c r="G73" s="69">
        <f>IF(SUM(I58:I70)=0,PROPER(I73),I73)</f>
      </c>
      <c r="H73" s="69">
        <v>2</v>
      </c>
      <c r="I73" s="75">
        <f>J73&amp;K73</f>
      </c>
      <c r="J73" s="69">
        <f>IF(I56=11," одиннадцать",IF(I56=12," двенадцать",IF(I56=13," тринадцать",IF(I56=14," четырнадцать",IF(I56=15," пятнадцать",IF(I56=16," шестнадцать",IF(I56=17," семнадцать","")))))))</f>
      </c>
      <c r="K73" s="69">
        <f>IF(I56=18," восемнадцать",IF(I56=19," девятнадцать",""))</f>
      </c>
      <c r="N73" s="78">
        <f>IF(AND(V56&gt;=11,V56&lt;=19),"",IF(OR(V57=2,V57=3,V57=4),O73,""))</f>
      </c>
      <c r="O73" s="69" t="s">
        <v>79</v>
      </c>
      <c r="P73" s="78">
        <f>IF(U56&gt;0,"",IF(OR(U55=2,U55=3,U55=4),Q73,""))</f>
      </c>
      <c r="Q73" s="79" t="s">
        <v>81</v>
      </c>
      <c r="S73" s="69">
        <f>IF(SUM(U58:U70)=0,PROPER(U73),U73)</f>
      </c>
      <c r="T73" s="69">
        <v>2</v>
      </c>
      <c r="U73" s="75">
        <f>V73&amp;W73</f>
      </c>
      <c r="V73" s="69">
        <f>IF(U56=11," одиннадцать",IF(U56=12," двенадцать",IF(U56=13," тринадцать",IF(U56=14," четырнадцать",IF(U56=15," пятнадцать",IF(U56=16," шестнадцать",IF(U56=17," семнадцать","")))))))</f>
      </c>
      <c r="W73" s="69">
        <f>IF(U56=18," восемнадцать",IF(U56=19," девятнадцать",""))</f>
      </c>
      <c r="AA73" s="78">
        <f>IF(AND(AI56&gt;=11,AI56&lt;=19),"",IF(OR(AI57=2,AI57=3,AI57=4),AB73,""))</f>
      </c>
      <c r="AB73" s="69" t="s">
        <v>82</v>
      </c>
      <c r="AC73" s="78">
        <f>IF(AH56&gt;0,"",IF(OR(AH55=2,AH55=3,AH55=4),AD73,""))</f>
      </c>
      <c r="AD73" s="79" t="s">
        <v>83</v>
      </c>
      <c r="AF73" s="69">
        <f>IF(SUM(AH58:AH70)=0,PROPER(AH73),AH73)</f>
      </c>
      <c r="AG73" s="69">
        <v>2</v>
      </c>
      <c r="AH73" s="75">
        <f>AI73&amp;AJ73</f>
      </c>
      <c r="AI73" s="69">
        <f>IF(AH56=11," одиннадцать",IF(AH56=12," двенадцать",IF(AH56=13," тринадцать",IF(AH56=14," четырнадцать",IF(AH56=15," пятнадцать",IF(AH56=16," шестнадцать",IF(AH56=17," семнадцать","")))))))</f>
      </c>
      <c r="AJ73" s="69">
        <f>IF(AH56=18," восемнадцать",IF(AH56=19," девятнадцать",""))</f>
      </c>
      <c r="AN73" s="78">
        <f>IF(AND(AV56&gt;=11,AV56&lt;=19),"",IF(OR(AV57=2,AV57=3,AV57=4),AO73,""))</f>
      </c>
      <c r="AO73" s="69" t="s">
        <v>84</v>
      </c>
      <c r="AP73" s="78"/>
      <c r="AQ73" s="79"/>
      <c r="AS73" s="69">
        <f>IF(SUM(AU58:AU70)=0,PROPER(AU73),AU73)</f>
      </c>
      <c r="AT73" s="69">
        <v>2</v>
      </c>
      <c r="AU73" s="75">
        <f>AV73&amp;AW73</f>
      </c>
      <c r="AV73" s="69">
        <f>IF(AU56=11," одиннадцать",IF(AU56=12," двенадцать",IF(AU56=13," тринадцать",IF(AU56=14," четырнадцать",IF(AU56=15," пятнадцать",IF(AU56=16," шестнадцать",IF(AU56=17," семнадцать","")))))))</f>
      </c>
      <c r="AW73" s="69">
        <f>IF(AU56=18," восемнадцать",IF(AU56=19," девятнадцать",""))</f>
      </c>
    </row>
    <row r="74" spans="1:49" s="69" customFormat="1" ht="12" customHeight="1" hidden="1">
      <c r="A74" s="78" t="str">
        <f>IF(AND(J56&gt;=11,J56&lt;=19),"",IF(OR(J57="",J57=0,J57=5,J57=6,J57=7,J57=8,J57=9),B74,""))</f>
        <v> копеек</v>
      </c>
      <c r="B74" s="69" t="s">
        <v>85</v>
      </c>
      <c r="D74" s="78" t="str">
        <f>IF(I56&gt;0,"",IF(OR(I55=0,I55=5,I55=6,I55=7,I55=8,I55=9),E74,""))</f>
        <v> белорусских рублей </v>
      </c>
      <c r="E74" s="79" t="s">
        <v>86</v>
      </c>
      <c r="G74" s="69" t="str">
        <f>IF(SUM(I58:I70)=0,PROPER(I74),I74)</f>
        <v> пятьдесят</v>
      </c>
      <c r="H74" s="69">
        <v>3</v>
      </c>
      <c r="I74" s="75" t="str">
        <f>IF(AND(I56&lt;20,I56&gt;10),"",J74&amp;K74)</f>
        <v> пятьдесят</v>
      </c>
      <c r="J74" s="69" t="str">
        <f>IF(I57=10," десять",IF(I57=20," двадцать",IF(I57=30," тридцать",IF(I57=40," сорок",IF(I57=50," пятьдесят",IF(I57=60," шестьдесят",""))))))</f>
        <v> пятьдесят</v>
      </c>
      <c r="K74" s="69">
        <f>IF(I57=70," семьдесят",IF(I57=80," восемьдесят",IF(I57=90," девяносто","")))</f>
      </c>
      <c r="N74" s="78" t="str">
        <f>IF(AND(V56&gt;=11,V56&lt;=19),"",IF(OR(V57="",V57=0,V57=5,V57=6,V57=7,V57=8,V57=9),O74,""))</f>
        <v> копеек</v>
      </c>
      <c r="O74" s="69" t="s">
        <v>85</v>
      </c>
      <c r="P74" s="78" t="str">
        <f>IF(U56&gt;0,"",IF(OR(U55=0,U55=5,U55=6,U55=7,U55=8,U55=9),Q74,""))</f>
        <v> российских рублей </v>
      </c>
      <c r="Q74" s="79" t="s">
        <v>87</v>
      </c>
      <c r="S74" s="69" t="str">
        <f>IF(SUM(U58:U70)=0,PROPER(U74),U74)</f>
        <v> пятьдесят</v>
      </c>
      <c r="T74" s="69">
        <v>3</v>
      </c>
      <c r="U74" s="75" t="str">
        <f>IF(AND(U56&lt;20,U56&gt;10),"",V74&amp;W74)</f>
        <v> пятьдесят</v>
      </c>
      <c r="V74" s="69" t="str">
        <f>IF(U57=10," десять",IF(U57=20," двадцать",IF(U57=30," тридцать",IF(U57=40," сорок",IF(U57=50," пятьдесят",IF(U57=60," шестьдесят",""))))))</f>
        <v> пятьдесят</v>
      </c>
      <c r="W74" s="69">
        <f>IF(U57=70," семьдесят",IF(U57=80," восемьдесят",IF(U57=90," девяносто","")))</f>
      </c>
      <c r="AA74" s="78" t="str">
        <f>IF(AND(AI56&gt;=11,AI56&lt;=19),"",IF(OR(AI57="",AI57=0,AI57=5,AI57=6,AI57=7,AI57=8,AI57=9),AB74,""))</f>
        <v> центов</v>
      </c>
      <c r="AB74" s="69" t="s">
        <v>88</v>
      </c>
      <c r="AC74" s="78" t="str">
        <f>IF(AH56&gt;0,"",IF(OR(AH55=0,AH55=5,AH55=6,AH55=7,AH55=8,AH55=9),AD74,""))</f>
        <v> долларов </v>
      </c>
      <c r="AD74" s="79" t="s">
        <v>89</v>
      </c>
      <c r="AF74" s="69" t="str">
        <f>IF(SUM(AH58:AH70)=0,PROPER(AH74),AH74)</f>
        <v> пятьдесят</v>
      </c>
      <c r="AG74" s="69">
        <v>3</v>
      </c>
      <c r="AH74" s="75" t="str">
        <f>IF(AND(AH56&lt;20,AH56&gt;10),"",AI74&amp;AJ74)</f>
        <v> пятьдесят</v>
      </c>
      <c r="AI74" s="69" t="str">
        <f>IF(AH57=10," десять",IF(AH57=20," двадцать",IF(AH57=30," тридцать",IF(AH57=40," сорок",IF(AH57=50," пятьдесят",IF(AH57=60," шестьдесят",""))))))</f>
        <v> пятьдесят</v>
      </c>
      <c r="AJ74" s="69">
        <f>IF(AH57=70," семьдесят",IF(AH57=80," восемьдесят",IF(AH57=90," девяносто","")))</f>
      </c>
      <c r="AN74" s="78" t="str">
        <f>IF(AND(AV56&gt;=11,AV56&lt;=19),"",IF(OR(AV57="",AV57=0,AV57=5,AV57=6,AV57=7,AV57=8,AV57=9),AO74,""))</f>
        <v> евроцентов</v>
      </c>
      <c r="AO74" s="69" t="s">
        <v>90</v>
      </c>
      <c r="AP74" s="78"/>
      <c r="AQ74" s="79"/>
      <c r="AS74" s="69" t="str">
        <f>IF(SUM(AU58:AU70)=0,PROPER(AU74),AU74)</f>
        <v> пятьдесят</v>
      </c>
      <c r="AT74" s="69">
        <v>3</v>
      </c>
      <c r="AU74" s="75" t="str">
        <f>IF(AND(AU56&lt;20,AU56&gt;10),"",AV74&amp;AW74)</f>
        <v> пятьдесят</v>
      </c>
      <c r="AV74" s="69" t="str">
        <f>IF(AU57=10," десять",IF(AU57=20," двадцать",IF(AU57=30," тридцать",IF(AU57=40," сорок",IF(AU57=50," пятьдесят",IF(AU57=60," шестьдесят",""))))))</f>
        <v> пятьдесят</v>
      </c>
      <c r="AW74" s="69">
        <f>IF(AU57=70," семьдесят",IF(AU57=80," восемьдесят",IF(AU57=90," девяносто","")))</f>
      </c>
    </row>
    <row r="75" spans="1:49" s="69" customFormat="1" ht="12" customHeight="1" hidden="1">
      <c r="A75" s="69">
        <f>IF(AND(J56&gt;=11,J56&lt;=19),B74,"")</f>
      </c>
      <c r="D75" s="69">
        <f>IF(AND(I56&gt;=11,I56&lt;=19),E74,"")</f>
      </c>
      <c r="E75" s="79"/>
      <c r="G75" s="69" t="str">
        <f>IF(SUM(J59:J70)=0,PROPER(I75),I75)</f>
        <v> Четыреста</v>
      </c>
      <c r="H75" s="69">
        <v>4</v>
      </c>
      <c r="I75" s="75" t="str">
        <f>J75&amp;K75</f>
        <v> четыреста</v>
      </c>
      <c r="J75" s="69" t="str">
        <f>IF(I58=100," сто",IF(I58=200," двести",IF(I58=300," триста",IF(I58=400," четыреста",IF(I58=500," пятьсот",IF(I58=600," шестьсот",""))))))</f>
        <v> четыреста</v>
      </c>
      <c r="K75" s="69">
        <f>IF(I58=700," семьсот",IF(I58=800," восемьсот",IF(I58=900," девятьсот","")))</f>
      </c>
      <c r="N75" s="69">
        <f>IF(AND(V56&gt;=11,V56&lt;=19),O74,"")</f>
      </c>
      <c r="P75" s="69">
        <f>IF(AND(U56&gt;=11,U56&lt;=19),Q74,"")</f>
      </c>
      <c r="Q75" s="79"/>
      <c r="S75" s="69" t="str">
        <f>IF(SUM(V59:V70)=0,PROPER(U75),U75)</f>
        <v> Четыреста</v>
      </c>
      <c r="T75" s="69">
        <v>4</v>
      </c>
      <c r="U75" s="75" t="str">
        <f>V75&amp;W75</f>
        <v> четыреста</v>
      </c>
      <c r="V75" s="69" t="str">
        <f>IF(U58=100," сто",IF(U58=200," двести",IF(U58=300," триста",IF(U58=400," четыреста",IF(U58=500," пятьсот",IF(U58=600," шестьсот",""))))))</f>
        <v> четыреста</v>
      </c>
      <c r="W75" s="69">
        <f>IF(U58=700," семьсот",IF(U58=800," восемьсот",IF(U58=900," девятьсот","")))</f>
      </c>
      <c r="AA75" s="69">
        <f>IF(AND(AI56&gt;=11,AI56&lt;=19),AB74,"")</f>
      </c>
      <c r="AC75" s="69">
        <f>IF(AND(AH56&gt;=11,AH56&lt;=19),AD74,"")</f>
      </c>
      <c r="AD75" s="79"/>
      <c r="AF75" s="69" t="str">
        <f>IF(SUM(AI59:AI70)=0,PROPER(AH75),AH75)</f>
        <v> Четыреста</v>
      </c>
      <c r="AG75" s="69">
        <v>4</v>
      </c>
      <c r="AH75" s="75" t="str">
        <f>AI75&amp;AJ75</f>
        <v> четыреста</v>
      </c>
      <c r="AI75" s="69" t="str">
        <f>IF(AH58=100," сто",IF(AH58=200," двести",IF(AH58=300," триста",IF(AH58=400," четыреста",IF(AH58=500," пятьсот",IF(AH58=600," шестьсот",""))))))</f>
        <v> четыреста</v>
      </c>
      <c r="AJ75" s="69">
        <f>IF(AH58=700," семьсот",IF(AH58=800," восемьсот",IF(AH58=900," девятьсот","")))</f>
      </c>
      <c r="AN75" s="69">
        <f>IF(AND(AV56&gt;=11,AV56&lt;=19),AO74,"")</f>
      </c>
      <c r="AQ75" s="79"/>
      <c r="AS75" s="69" t="str">
        <f>IF(SUM(AV59:AV70)=0,PROPER(AU75),AU75)</f>
        <v> Четыреста</v>
      </c>
      <c r="AT75" s="69">
        <v>4</v>
      </c>
      <c r="AU75" s="75" t="str">
        <f>AV75&amp;AW75</f>
        <v> четыреста</v>
      </c>
      <c r="AV75" s="69" t="str">
        <f>IF(AU58=100," сто",IF(AU58=200," двести",IF(AU58=300," триста",IF(AU58=400," четыреста",IF(AU58=500," пятьсот",IF(AU58=600," шестьсот",""))))))</f>
        <v> четыреста</v>
      </c>
      <c r="AW75" s="69">
        <f>IF(AU58=700," семьсот",IF(AU58=800," восемьсот",IF(AU58=900," девятьсот","")))</f>
      </c>
    </row>
    <row r="76" spans="1:50" s="69" customFormat="1" ht="12" customHeight="1" hidden="1">
      <c r="A76" s="77" t="str">
        <f>IF(J57="","00"&amp;A72&amp;A73&amp;A74&amp;A75,A72&amp;A73&amp;A74&amp;A75)</f>
        <v> копеек</v>
      </c>
      <c r="D76" s="77" t="str">
        <f>D72&amp;D73&amp;D74&amp;D75</f>
        <v> белорусских рублей </v>
      </c>
      <c r="E76" s="77"/>
      <c r="G76" s="69">
        <f>IF(SUM(J60:J70)=0,PROPER(I76),I76)</f>
      </c>
      <c r="H76" s="69">
        <v>5</v>
      </c>
      <c r="I76" s="75">
        <f>IF(AND(J60&lt;20,J60&gt;10),"",J76&amp;K76)</f>
      </c>
      <c r="J76" s="69">
        <f>IF(J59=1," одна",IF(J59=2," две",IF(J59=3," три",IF(J59=4," четыре",IF(J59=5," пять",IF(J59=6," шесть",IF(J59=7," семь","")))))))</f>
      </c>
      <c r="K76" s="69">
        <f>IF(J59=8," восемь",IF(J59=9," девять",""))</f>
      </c>
      <c r="L76" s="69">
        <f>IF(AND(I76="",I77="",I78="",I79=""),"",IF(AND(J60&lt;20,J60&gt;10)," тысяч",IF(J59=1," тысяча",IF(OR(J59=2,J59=3,J59=4)," тысячи"," тысяч"))))</f>
      </c>
      <c r="N76" s="77" t="str">
        <f>IF(V57="","00"&amp;N72&amp;N73&amp;N74&amp;N75,N72&amp;N73&amp;N74&amp;N75)</f>
        <v> копеек</v>
      </c>
      <c r="P76" s="77" t="str">
        <f>P72&amp;P73&amp;P74&amp;P75</f>
        <v> российских рублей </v>
      </c>
      <c r="Q76" s="77"/>
      <c r="S76" s="69">
        <f>IF(SUM(V60:V70)=0,PROPER(U76),U76)</f>
      </c>
      <c r="T76" s="69">
        <v>5</v>
      </c>
      <c r="U76" s="75">
        <f>IF(AND(V60&lt;20,V60&gt;10),"",V76&amp;W76)</f>
      </c>
      <c r="V76" s="69">
        <f>IF(V59=1," одна",IF(V59=2," две",IF(V59=3," три",IF(V59=4," четыре",IF(V59=5," пять",IF(V59=6," шесть",IF(V59=7," семь","")))))))</f>
      </c>
      <c r="W76" s="69">
        <f>IF(V59=8," восемь",IF(V59=9," девять",""))</f>
      </c>
      <c r="X76" s="69">
        <f>IF(AND(U76="",U77="",U78="",U79=""),"",IF(AND(V60&lt;20,V60&gt;10)," тысяч",IF(V59=1," тысяча",IF(OR(V59=2,V59=3,V59=4)," тысячи"," тысяч"))))</f>
      </c>
      <c r="AA76" s="77" t="str">
        <f>IF(AI57="","00"&amp;AA72&amp;AA73&amp;AA74&amp;AA75,AA72&amp;AA73&amp;AA74&amp;AA75)</f>
        <v> центов</v>
      </c>
      <c r="AC76" s="77" t="str">
        <f>AC72&amp;AC73&amp;AC74&amp;AC75</f>
        <v> долларов </v>
      </c>
      <c r="AD76" s="77"/>
      <c r="AF76" s="69">
        <f>IF(SUM(AI60:AI70)=0,PROPER(AH76),AH76)</f>
      </c>
      <c r="AG76" s="69">
        <v>5</v>
      </c>
      <c r="AH76" s="75">
        <f>IF(AND(AI60&lt;20,AI60&gt;10),"",AI76&amp;AJ76)</f>
      </c>
      <c r="AI76" s="69">
        <f>IF(AI59=1," одна",IF(AI59=2," две",IF(AI59=3," три",IF(AI59=4," четыре",IF(AI59=5," пять",IF(AI59=6," шесть",IF(AI59=7," семь","")))))))</f>
      </c>
      <c r="AJ76" s="69">
        <f>IF(AI59=8," восемь",IF(AI59=9," девять",""))</f>
      </c>
      <c r="AK76" s="69">
        <f>IF(AND(AH76="",AH77="",AH78="",AH79=""),"",IF(AND(AI60&lt;20,AI60&gt;10)," тысяч",IF(AI59=1," тысяча",IF(OR(AI59=2,AI59=3,AI59=4)," тысячи"," тысяч"))))</f>
      </c>
      <c r="AN76" s="77" t="str">
        <f>IF(AV57="","00"&amp;AN72&amp;AN73&amp;AN74&amp;AN75,AN72&amp;AN73&amp;AN74&amp;AN75)</f>
        <v> евроцентов</v>
      </c>
      <c r="AP76" s="77" t="s">
        <v>91</v>
      </c>
      <c r="AQ76" s="77"/>
      <c r="AS76" s="69">
        <f>IF(SUM(AV60:AV70)=0,PROPER(AU76),AU76)</f>
      </c>
      <c r="AT76" s="69">
        <v>5</v>
      </c>
      <c r="AU76" s="75">
        <f>IF(AND(AV60&lt;20,AV60&gt;10),"",AV76&amp;AW76)</f>
      </c>
      <c r="AV76" s="69">
        <f>IF(AV59=1," одна",IF(AV59=2," две",IF(AV59=3," три",IF(AV59=4," четыре",IF(AV59=5," пять",IF(AV59=6," шесть",IF(AV59=7," семь","")))))))</f>
      </c>
      <c r="AW76" s="69">
        <f>IF(AV59=8," восемь",IF(AV59=9," девять",""))</f>
      </c>
      <c r="AX76" s="69">
        <f>IF(AND(AU76="",AU77="",AU78="",AU79=""),"",IF(AND(AV60&lt;20,AV60&gt;10)," тысяч",IF(AV59=1," тысяча",IF(OR(AV59=2,AV59=3,AV59=4)," тысячи"," тысяч"))))</f>
      </c>
    </row>
    <row r="77" spans="4:49" s="69" customFormat="1" ht="12" customHeight="1" hidden="1">
      <c r="D77" s="76"/>
      <c r="E77" s="77"/>
      <c r="G77" s="69">
        <f>IF(SUM(J62:J70)=0,PROPER(I77),I77)</f>
      </c>
      <c r="H77" s="69">
        <v>6</v>
      </c>
      <c r="I77" s="75">
        <f>J77&amp;K77</f>
      </c>
      <c r="J77" s="69">
        <f>IF(J60=11," одиннадцать",IF(J60=12," двенадцать",IF(J60=13," тринадцать",IF(J60=14," четырнадцать",IF(J60=15," пятнадцать",IF(J60=16," шестнадцать",IF(J60=17," семнадцать","")))))))</f>
      </c>
      <c r="K77" s="69">
        <f>IF(J60=18," восемнадцать",IF(J60=19," девятнадцать",""))</f>
      </c>
      <c r="P77" s="76"/>
      <c r="Q77" s="77"/>
      <c r="S77" s="69">
        <f>IF(SUM(V62:V70)=0,PROPER(U77),U77)</f>
      </c>
      <c r="T77" s="69">
        <v>6</v>
      </c>
      <c r="U77" s="75">
        <f>V77&amp;W77</f>
      </c>
      <c r="V77" s="69">
        <f>IF(V60=11," одиннадцать",IF(V60=12," двенадцать",IF(V60=13," тринадцать",IF(V60=14," четырнадцать",IF(V60=15," пятнадцать",IF(V60=16," шестнадцать",IF(V60=17," семнадцать","")))))))</f>
      </c>
      <c r="W77" s="69">
        <f>IF(V60=18," восемнадцать",IF(V60=19," девятнадцать",""))</f>
      </c>
      <c r="AC77" s="76"/>
      <c r="AD77" s="77"/>
      <c r="AF77" s="69">
        <f>IF(SUM(AI62:AI70)=0,PROPER(AH77),AH77)</f>
      </c>
      <c r="AG77" s="69">
        <v>6</v>
      </c>
      <c r="AH77" s="75">
        <f>AI77&amp;AJ77</f>
      </c>
      <c r="AI77" s="69">
        <f>IF(AI60=11," одиннадцать",IF(AI60=12," двенадцать",IF(AI60=13," тринадцать",IF(AI60=14," четырнадцать",IF(AI60=15," пятнадцать",IF(AI60=16," шестнадцать",IF(AI60=17," семнадцать","")))))))</f>
      </c>
      <c r="AJ77" s="69">
        <f>IF(AI60=18," восемнадцать",IF(AI60=19," девятнадцать",""))</f>
      </c>
      <c r="AP77" s="76"/>
      <c r="AQ77" s="77"/>
      <c r="AS77" s="69">
        <f>IF(SUM(AV62:AV70)=0,PROPER(AU77),AU77)</f>
      </c>
      <c r="AT77" s="69">
        <v>6</v>
      </c>
      <c r="AU77" s="75">
        <f>AV77&amp;AW77</f>
      </c>
      <c r="AV77" s="69">
        <f>IF(AV60=11," одиннадцать",IF(AV60=12," двенадцать",IF(AV60=13," тринадцать",IF(AV60=14," четырнадцать",IF(AV60=15," пятнадцать",IF(AV60=16," шестнадцать",IF(AV60=17," семнадцать","")))))))</f>
      </c>
      <c r="AW77" s="69">
        <f>IF(AV60=18," восемнадцать",IF(AV60=19," девятнадцать",""))</f>
      </c>
    </row>
    <row r="78" spans="7:49" s="69" customFormat="1" ht="12" customHeight="1" hidden="1">
      <c r="G78" s="69">
        <f>IF(SUM(J62:J70)=0,PROPER(I78),I78)</f>
      </c>
      <c r="H78" s="69">
        <v>7</v>
      </c>
      <c r="I78" s="75">
        <f>IF(AND(J60&lt;20,J60&gt;10),"",J78&amp;K78)</f>
      </c>
      <c r="J78" s="69">
        <f>IF(J61=10," десять",IF(J61=20," двадцать",IF(J61=30," тридцать",IF(J61=40," сорок",IF(J61=50," пятьдесят",IF(J61=60," шестьдесят",""))))))</f>
      </c>
      <c r="K78" s="69">
        <f>IF(J61=70," семьдесят",IF(J61=80," восемьдесят",IF(J61=90," девяносто","")))</f>
      </c>
      <c r="S78" s="69">
        <f>IF(SUM(V62:V70)=0,PROPER(U78),U78)</f>
      </c>
      <c r="T78" s="69">
        <v>7</v>
      </c>
      <c r="U78" s="75">
        <f>IF(AND(V60&lt;20,V60&gt;10),"",V78&amp;W78)</f>
      </c>
      <c r="V78" s="69">
        <f>IF(V61=10," десять",IF(V61=20," двадцать",IF(V61=30," тридцать",IF(V61=40," сорок",IF(V61=50," пятьдесят",IF(V61=60," шестьдесят",""))))))</f>
      </c>
      <c r="W78" s="69">
        <f>IF(V61=70," семьдесят",IF(V61=80," восемьдесят",IF(V61=90," девяносто","")))</f>
      </c>
      <c r="AF78" s="69">
        <f>IF(SUM(AI62:AI70)=0,PROPER(AH78),AH78)</f>
      </c>
      <c r="AG78" s="69">
        <v>7</v>
      </c>
      <c r="AH78" s="75">
        <f>IF(AND(AI60&lt;20,AI60&gt;10),"",AI78&amp;AJ78)</f>
      </c>
      <c r="AI78" s="69">
        <f>IF(AI61=10," десять",IF(AI61=20," двадцать",IF(AI61=30," тридцать",IF(AI61=40," сорок",IF(AI61=50," пятьдесят",IF(AI61=60," шестьдесят",""))))))</f>
      </c>
      <c r="AJ78" s="69">
        <f>IF(AI61=70," семьдесят",IF(AI61=80," восемьдесят",IF(AI61=90," девяносто","")))</f>
      </c>
      <c r="AS78" s="69">
        <f>IF(SUM(AV62:AV70)=0,PROPER(AU78),AU78)</f>
      </c>
      <c r="AT78" s="69">
        <v>7</v>
      </c>
      <c r="AU78" s="75">
        <f>IF(AND(AV60&lt;20,AV60&gt;10),"",AV78&amp;AW78)</f>
      </c>
      <c r="AV78" s="69">
        <f>IF(AV61=10," десять",IF(AV61=20," двадцать",IF(AV61=30," тридцать",IF(AV61=40," сорок",IF(AV61=50," пятьдесят",IF(AV61=60," шестьдесят",""))))))</f>
      </c>
      <c r="AW78" s="69">
        <f>IF(AV61=70," семьдесят",IF(AV61=80," восемьдесят",IF(AV61=90," девяносто","")))</f>
      </c>
    </row>
    <row r="79" spans="7:49" s="69" customFormat="1" ht="12" customHeight="1" hidden="1">
      <c r="G79" s="69">
        <f>IF(SUM(J63:J70)=0,PROPER(I79),I79)</f>
      </c>
      <c r="H79" s="69">
        <v>8</v>
      </c>
      <c r="I79" s="75">
        <f>J79&amp;K79</f>
      </c>
      <c r="J79" s="69">
        <f>IF(J62=100," сто",IF(J62=200," двести",IF(J62=300," триста",IF(J62=400," четыреста",IF(J62=500," пятьсот",IF(J62=600," шестьсот",""))))))</f>
      </c>
      <c r="K79" s="69">
        <f>IF(J62=700," семьсот",IF(J62=800," восемьсот",IF(J62=900," девятьсот","")))</f>
      </c>
      <c r="S79" s="69">
        <f>IF(SUM(V63:V70)=0,PROPER(U79),U79)</f>
      </c>
      <c r="T79" s="69">
        <v>8</v>
      </c>
      <c r="U79" s="75">
        <f>V79&amp;W79</f>
      </c>
      <c r="V79" s="69">
        <f>IF(V62=100," сто",IF(V62=200," двести",IF(V62=300," триста",IF(V62=400," четыреста",IF(V62=500," пятьсот",IF(V62=600," шестьсот",""))))))</f>
      </c>
      <c r="W79" s="69">
        <f>IF(V62=700," семьсот",IF(V62=800," восемьсот",IF(V62=900," девятьсот","")))</f>
      </c>
      <c r="AF79" s="69">
        <f>IF(SUM(AI63:AI70)=0,PROPER(AH79),AH79)</f>
      </c>
      <c r="AG79" s="69">
        <v>8</v>
      </c>
      <c r="AH79" s="75">
        <f>AI79&amp;AJ79</f>
      </c>
      <c r="AI79" s="69">
        <f>IF(AI62=100," сто",IF(AI62=200," двести",IF(AI62=300," триста",IF(AI62=400," четыреста",IF(AI62=500," пятьсот",IF(AI62=600," шестьсот",""))))))</f>
      </c>
      <c r="AJ79" s="69">
        <f>IF(AI62=700," семьсот",IF(AI62=800," восемьсот",IF(AI62=900," девятьсот","")))</f>
      </c>
      <c r="AS79" s="69">
        <f>IF(SUM(AV63:AV70)=0,PROPER(AU79),AU79)</f>
      </c>
      <c r="AT79" s="69">
        <v>8</v>
      </c>
      <c r="AU79" s="75">
        <f>AV79&amp;AW79</f>
      </c>
      <c r="AV79" s="69">
        <f>IF(AV62=100," сто",IF(AV62=200," двести",IF(AV62=300," триста",IF(AV62=400," четыреста",IF(AV62=500," пятьсот",IF(AV62=600," шестьсот",""))))))</f>
      </c>
      <c r="AW79" s="69">
        <f>IF(AV62=700," семьсот",IF(AV62=800," восемьсот",IF(AV62=900," девятьсот","")))</f>
      </c>
    </row>
    <row r="80" spans="7:50" s="69" customFormat="1" ht="12" customHeight="1" hidden="1">
      <c r="G80" s="69">
        <f>IF(SUM(J64:J70)=0,PROPER(I80),I80)</f>
      </c>
      <c r="H80" s="69">
        <v>9</v>
      </c>
      <c r="I80" s="75">
        <f>IF(AND(J64&lt;20,J64&gt;10),"",J80&amp;K80)</f>
      </c>
      <c r="J80" s="69">
        <f>IF(J63=1," один",IF(J63=2," два",IF(J63=3," три",IF(J63=4," четыре",IF(J63=5," пять",IF(J63=6," шесть",IF(J63=7," семь","")))))))</f>
      </c>
      <c r="K80" s="69">
        <f>IF(J63=8," восемь",IF(J63=9," девять",""))</f>
      </c>
      <c r="L80" s="69">
        <f>IF(AND(I80="",I81="",I82="",I83=""),"",IF(AND(J64&lt;20,J64&gt;10)," миллионов",IF(J63=1," миллион",IF(OR(J63=2,J63=3,J63=4)," миллиона"," миллионов"))))</f>
      </c>
      <c r="S80" s="69">
        <f>IF(SUM(V64:V70)=0,PROPER(U80),U80)</f>
      </c>
      <c r="T80" s="69">
        <v>9</v>
      </c>
      <c r="U80" s="75">
        <f>IF(AND(V64&lt;20,V64&gt;10),"",V80&amp;W80)</f>
      </c>
      <c r="V80" s="69">
        <f>IF(V63=1," один",IF(V63=2," два",IF(V63=3," три",IF(V63=4," четыре",IF(V63=5," пять",IF(V63=6," шесть",IF(V63=7," семь","")))))))</f>
      </c>
      <c r="W80" s="69">
        <f>IF(V63=8," восемь",IF(V63=9," девять",""))</f>
      </c>
      <c r="X80" s="69">
        <f>IF(AND(U80="",U81="",U82="",U83=""),"",IF(AND(V64&lt;20,V64&gt;10)," миллионов",IF(V63=1," миллион",IF(OR(V63=2,V63=3,V63=4)," миллиона"," миллионов"))))</f>
      </c>
      <c r="AF80" s="69">
        <f>IF(SUM(AI64:AI70)=0,PROPER(AH80),AH80)</f>
      </c>
      <c r="AG80" s="69">
        <v>9</v>
      </c>
      <c r="AH80" s="75">
        <f>IF(AND(AI64&lt;20,AI64&gt;10),"",AI80&amp;AJ80)</f>
      </c>
      <c r="AI80" s="69">
        <f>IF(AI63=1," один",IF(AI63=2," два",IF(AI63=3," три",IF(AI63=4," четыре",IF(AI63=5," пять",IF(AI63=6," шесть",IF(AI63=7," семь","")))))))</f>
      </c>
      <c r="AJ80" s="69">
        <f>IF(AI63=8," восемь",IF(AI63=9," девять",""))</f>
      </c>
      <c r="AK80" s="69">
        <f>IF(AND(AH80="",AH81="",AH82="",AH83=""),"",IF(AND(AI64&lt;20,AI64&gt;10)," миллионов",IF(AI63=1," миллион",IF(OR(AI63=2,AI63=3,AI63=4)," миллиона"," миллионов"))))</f>
      </c>
      <c r="AS80" s="69">
        <f>IF(SUM(AV64:AV70)=0,PROPER(AU80),AU80)</f>
      </c>
      <c r="AT80" s="69">
        <v>9</v>
      </c>
      <c r="AU80" s="75">
        <f>IF(AND(AV64&lt;20,AV64&gt;10),"",AV80&amp;AW80)</f>
      </c>
      <c r="AV80" s="69">
        <f>IF(AV63=1," один",IF(AV63=2," два",IF(AV63=3," три",IF(AV63=4," четыре",IF(AV63=5," пять",IF(AV63=6," шесть",IF(AV63=7," семь","")))))))</f>
      </c>
      <c r="AW80" s="69">
        <f>IF(AV63=8," восемь",IF(AV63=9," девять",""))</f>
      </c>
      <c r="AX80" s="69">
        <f>IF(AND(AU80="",AU81="",AU82="",AU83=""),"",IF(AND(AV64&lt;20,AV64&gt;10)," миллионов",IF(AV63=1," миллион",IF(OR(AV63=2,AV63=3,AV63=4)," миллиона"," миллионов"))))</f>
      </c>
    </row>
    <row r="81" spans="7:49" s="69" customFormat="1" ht="12" customHeight="1" hidden="1">
      <c r="G81" s="69">
        <f>IF(SUM(J66:J70)=0,PROPER(I81),I81)</f>
      </c>
      <c r="H81" s="69">
        <v>10</v>
      </c>
      <c r="I81" s="75">
        <f>J81&amp;K81</f>
      </c>
      <c r="J81" s="69">
        <f>IF(J64=11," одиннадцать",IF(J64=12," двенадцать",IF(J64=13," тринадцать",IF(J64=14," четырнадцать",IF(J64=15," пятнадцать",IF(J64=16," шестнадцать",IF(J64=17," семнадцать","")))))))</f>
      </c>
      <c r="K81" s="69">
        <f>IF(J64=18," восемнадцать",IF(J64=19," девятнадцать",""))</f>
      </c>
      <c r="S81" s="69">
        <f>IF(SUM(V66:V70)=0,PROPER(U81),U81)</f>
      </c>
      <c r="T81" s="69">
        <v>10</v>
      </c>
      <c r="U81" s="75">
        <f>V81&amp;W81</f>
      </c>
      <c r="V81" s="69">
        <f>IF(V64=11," одиннадцать",IF(V64=12," двенадцать",IF(V64=13," тринадцать",IF(V64=14," четырнадцать",IF(V64=15," пятнадцать",IF(V64=16," шестнадцать",IF(V64=17," семнадцать","")))))))</f>
      </c>
      <c r="W81" s="69">
        <f>IF(V64=18," восемнадцать",IF(V64=19," девятнадцать",""))</f>
      </c>
      <c r="AF81" s="69">
        <f>IF(SUM(AI66:AI70)=0,PROPER(AH81),AH81)</f>
      </c>
      <c r="AG81" s="69">
        <v>10</v>
      </c>
      <c r="AH81" s="75">
        <f>AI81&amp;AJ81</f>
      </c>
      <c r="AI81" s="69">
        <f>IF(AI64=11," одиннадцать",IF(AI64=12," двенадцать",IF(AI64=13," тринадцать",IF(AI64=14," четырнадцать",IF(AI64=15," пятнадцать",IF(AI64=16," шестнадцать",IF(AI64=17," семнадцать","")))))))</f>
      </c>
      <c r="AJ81" s="69">
        <f>IF(AI64=18," восемнадцать",IF(AI64=19," девятнадцать",""))</f>
      </c>
      <c r="AS81" s="69">
        <f>IF(SUM(AV66:AV70)=0,PROPER(AU81),AU81)</f>
      </c>
      <c r="AT81" s="69">
        <v>10</v>
      </c>
      <c r="AU81" s="75">
        <f>AV81&amp;AW81</f>
      </c>
      <c r="AV81" s="69">
        <f>IF(AV64=11," одиннадцать",IF(AV64=12," двенадцать",IF(AV64=13," тринадцать",IF(AV64=14," четырнадцать",IF(AV64=15," пятнадцать",IF(AV64=16," шестнадцать",IF(AV64=17," семнадцать","")))))))</f>
      </c>
      <c r="AW81" s="69">
        <f>IF(AV64=18," восемнадцать",IF(AV64=19," девятнадцать",""))</f>
      </c>
    </row>
    <row r="82" spans="7:49" s="69" customFormat="1" ht="12" customHeight="1" hidden="1">
      <c r="G82" s="69">
        <f>IF(SUM(J66:J70)=0,PROPER(I82),I82)</f>
      </c>
      <c r="H82" s="69">
        <v>11</v>
      </c>
      <c r="I82" s="75">
        <f>IF(AND(J64&lt;20,J64&gt;10),"",J82&amp;K82)</f>
      </c>
      <c r="J82" s="69">
        <f>IF(J65=10," десять",IF(J65=20," двадцать",IF(J65=30," тридцать",IF(J65=40," сорок",IF(J65=50," пятьдесят",IF(J65=60," шестьдесят",""))))))</f>
      </c>
      <c r="K82" s="69">
        <f>IF(J65=70," семьдесят",IF(J65=80," восемьдесят",IF(J65=90," девяносто","")))</f>
      </c>
      <c r="S82" s="69">
        <f>IF(SUM(V66:V70)=0,PROPER(U82),U82)</f>
      </c>
      <c r="T82" s="69">
        <v>11</v>
      </c>
      <c r="U82" s="75">
        <f>IF(AND(V64&lt;20,V64&gt;10),"",V82&amp;W82)</f>
      </c>
      <c r="V82" s="69">
        <f>IF(V65=10," десять",IF(V65=20," двадцать",IF(V65=30," тридцать",IF(V65=40," сорок",IF(V65=50," пятьдесят",IF(V65=60," шестьдесят",""))))))</f>
      </c>
      <c r="W82" s="69">
        <f>IF(V65=70," семьдесят",IF(V65=80," восемьдесят",IF(V65=90," девяносто","")))</f>
      </c>
      <c r="AF82" s="69">
        <f>IF(SUM(AI66:AI70)=0,PROPER(AH82),AH82)</f>
      </c>
      <c r="AG82" s="69">
        <v>11</v>
      </c>
      <c r="AH82" s="75">
        <f>IF(AND(AI64&lt;20,AI64&gt;10),"",AI82&amp;AJ82)</f>
      </c>
      <c r="AI82" s="69">
        <f>IF(AI65=10," десять",IF(AI65=20," двадцать",IF(AI65=30," тридцать",IF(AI65=40," сорок",IF(AI65=50," пятьдесят",IF(AI65=60," шестьдесят",""))))))</f>
      </c>
      <c r="AJ82" s="69">
        <f>IF(AI65=70," семьдесят",IF(AI65=80," восемьдесят",IF(AI65=90," девяносто","")))</f>
      </c>
      <c r="AS82" s="69">
        <f>IF(SUM(AV66:AV70)=0,PROPER(AU82),AU82)</f>
      </c>
      <c r="AT82" s="69">
        <v>11</v>
      </c>
      <c r="AU82" s="75">
        <f>IF(AND(AV64&lt;20,AV64&gt;10),"",AV82&amp;AW82)</f>
      </c>
      <c r="AV82" s="69">
        <f>IF(AV65=10," десять",IF(AV65=20," двадцать",IF(AV65=30," тридцать",IF(AV65=40," сорок",IF(AV65=50," пятьдесят",IF(AV65=60," шестьдесят",""))))))</f>
      </c>
      <c r="AW82" s="69">
        <f>IF(AV65=70," семьдесят",IF(AV65=80," восемьдесят",IF(AV65=90," девяносто","")))</f>
      </c>
    </row>
    <row r="83" spans="7:49" s="69" customFormat="1" ht="12" customHeight="1" hidden="1">
      <c r="G83" s="69">
        <f>IF(SUM(J67:J70)=0,PROPER(I83),I83)</f>
      </c>
      <c r="H83" s="69">
        <v>12</v>
      </c>
      <c r="I83" s="75">
        <f>J83&amp;K83</f>
      </c>
      <c r="J83" s="69">
        <f>IF(J66=100," сто",IF(J66=200," двести",IF(J66=300," триста",IF(J66=400," четыреста",IF(J66=500," пятьсот",IF(J66=600," шестьсот",""))))))</f>
      </c>
      <c r="K83" s="69">
        <f>IF(J66=700," семьсот",IF(J66=800," восемьсот",IF(J66=900," девятьсот","")))</f>
      </c>
      <c r="S83" s="69">
        <f>IF(SUM(V67:V70)=0,PROPER(U83),U83)</f>
      </c>
      <c r="T83" s="69">
        <v>12</v>
      </c>
      <c r="U83" s="75">
        <f>V83&amp;W83</f>
      </c>
      <c r="V83" s="69">
        <f>IF(V66=100," сто",IF(V66=200," двести",IF(V66=300," триста",IF(V66=400," четыреста",IF(V66=500," пятьсот",IF(V66=600," шестьсот",""))))))</f>
      </c>
      <c r="W83" s="69">
        <f>IF(V66=700," семьсот",IF(V66=800," восемьсот",IF(V66=900," девятьсот","")))</f>
      </c>
      <c r="AF83" s="69">
        <f>IF(SUM(AI67:AI70)=0,PROPER(AH83),AH83)</f>
      </c>
      <c r="AG83" s="69">
        <v>12</v>
      </c>
      <c r="AH83" s="75">
        <f>AI83&amp;AJ83</f>
      </c>
      <c r="AI83" s="69">
        <f>IF(AI66=100," сто",IF(AI66=200," двести",IF(AI66=300," триста",IF(AI66=400," четыреста",IF(AI66=500," пятьсот",IF(AI66=600," шестьсот",""))))))</f>
      </c>
      <c r="AJ83" s="69">
        <f>IF(AI66=700," семьсот",IF(AI66=800," восемьсот",IF(AI66=900," девятьсот","")))</f>
      </c>
      <c r="AS83" s="69">
        <f>IF(SUM(AV67:AV70)=0,PROPER(AU83),AU83)</f>
      </c>
      <c r="AT83" s="69">
        <v>12</v>
      </c>
      <c r="AU83" s="75">
        <f>AV83&amp;AW83</f>
      </c>
      <c r="AV83" s="69">
        <f>IF(AV66=100," сто",IF(AV66=200," двести",IF(AV66=300," триста",IF(AV66=400," четыреста",IF(AV66=500," пятьсот",IF(AV66=600," шестьсот",""))))))</f>
      </c>
      <c r="AW83" s="69">
        <f>IF(AV66=700," семьсот",IF(AV66=800," восемьсот",IF(AV66=900," девятьсот","")))</f>
      </c>
    </row>
    <row r="84" spans="7:50" s="69" customFormat="1" ht="12" customHeight="1" hidden="1">
      <c r="G84" s="69">
        <f>IF(SUM(J68:J70)=0,PROPER(I84),I84)</f>
      </c>
      <c r="H84" s="69">
        <v>13</v>
      </c>
      <c r="I84" s="75">
        <f>IF(AND(J68&lt;20,J68&gt;10),"",J84&amp;K84)</f>
      </c>
      <c r="J84" s="69">
        <f>IF(J67=1," один",IF(J67=2," два",IF(J67=3," три",IF(J67=4," четыре",IF(J67=5," пять",IF(J67=6," шесть",IF(J67=7," семь","")))))))</f>
      </c>
      <c r="K84" s="69">
        <f>IF(J67=8," восемь",IF(J67=9," девять",""))</f>
      </c>
      <c r="L84" s="69">
        <f>IF(AND(I84="",I85="",I86="",I87=""),"",IF(AND(J68&lt;20,J68&gt;10)," миллиардов",IF(J67=1," миллиард",IF(OR(J67=2,J67=3,J67=4)," миллиарда"," миллиардов"))))</f>
      </c>
      <c r="S84" s="69">
        <f>IF(SUM(V68:V70)=0,PROPER(U84),U84)</f>
      </c>
      <c r="T84" s="69">
        <v>13</v>
      </c>
      <c r="U84" s="75">
        <f>IF(AND(V68&lt;20,V68&gt;10),"",V84&amp;W84)</f>
      </c>
      <c r="V84" s="69">
        <f>IF(V67=1," один",IF(V67=2," два",IF(V67=3," три",IF(V67=4," четыре",IF(V67=5," пять",IF(V67=6," шесть",IF(V67=7," семь","")))))))</f>
      </c>
      <c r="W84" s="69">
        <f>IF(V67=8," восемь",IF(V67=9," девять",""))</f>
      </c>
      <c r="X84" s="69">
        <f>IF(AND(U84="",U85="",U86="",U87=""),"",IF(AND(V68&lt;20,V68&gt;10)," миллиардов",IF(V67=1," миллиард",IF(OR(V67=2,V67=3,V67=4)," миллиарда"," миллиардов"))))</f>
      </c>
      <c r="AF84" s="69">
        <f>IF(SUM(AI68:AI70)=0,PROPER(AH84),AH84)</f>
      </c>
      <c r="AG84" s="69">
        <v>13</v>
      </c>
      <c r="AH84" s="75">
        <f>IF(AND(AI68&lt;20,AI68&gt;10),"",AI84&amp;AJ84)</f>
      </c>
      <c r="AI84" s="69">
        <f>IF(AI67=1," один",IF(AI67=2," два",IF(AI67=3," три",IF(AI67=4," четыре",IF(AI67=5," пять",IF(AI67=6," шесть",IF(AI67=7," семь","")))))))</f>
      </c>
      <c r="AJ84" s="69">
        <f>IF(AI67=8," восемь",IF(AI67=9," девять",""))</f>
      </c>
      <c r="AK84" s="69">
        <f>IF(AND(AH84="",AH85="",AH86="",AH87=""),"",IF(AND(AI68&lt;20,AI68&gt;10)," миллиардов",IF(AI67=1," миллиард",IF(OR(AI67=2,AI67=3,AI67=4)," миллиарда"," миллиардов"))))</f>
      </c>
      <c r="AS84" s="69">
        <f>IF(SUM(AV68:AV70)=0,PROPER(AU84),AU84)</f>
      </c>
      <c r="AT84" s="69">
        <v>13</v>
      </c>
      <c r="AU84" s="75">
        <f>IF(AND(AV68&lt;20,AV68&gt;10),"",AV84&amp;AW84)</f>
      </c>
      <c r="AV84" s="69">
        <f>IF(AV67=1," один",IF(AV67=2," два",IF(AV67=3," три",IF(AV67=4," четыре",IF(AV67=5," пять",IF(AV67=6," шесть",IF(AV67=7," семь","")))))))</f>
      </c>
      <c r="AW84" s="69">
        <f>IF(AV67=8," восемь",IF(AV67=9," девять",""))</f>
      </c>
      <c r="AX84" s="69">
        <f>IF(AND(AU84="",AU85="",AU86="",AU87=""),"",IF(AND(AV68&lt;20,AV68&gt;10)," миллиардов",IF(AV67=1," миллиард",IF(OR(AV67=2,AV67=3,AV67=4)," миллиарда"," миллиардов"))))</f>
      </c>
    </row>
    <row r="85" spans="7:49" s="69" customFormat="1" ht="12" customHeight="1" hidden="1">
      <c r="G85" s="69">
        <f>IF(J70=0,PROPER(I85),I85)</f>
      </c>
      <c r="H85" s="69">
        <v>14</v>
      </c>
      <c r="I85" s="75">
        <f>J85&amp;K85</f>
      </c>
      <c r="J85" s="69">
        <f>IF(J68=11," одиннадцать",IF(J68=12," двенадцать",IF(J68=13," тринадцать",IF(J68=14," четырнадцать",IF(J68=15," пятнадцать",IF(J68=16," шестнадцать",IF(J68=17," семнадцать","")))))))</f>
      </c>
      <c r="K85" s="69">
        <f>IF(J68=18," восемнадцать",IF(J68=19," девятнадцать",""))</f>
      </c>
      <c r="S85" s="69">
        <f>IF(V70=0,PROPER(U85),U85)</f>
      </c>
      <c r="T85" s="69">
        <v>14</v>
      </c>
      <c r="U85" s="75">
        <f>V85&amp;W85</f>
      </c>
      <c r="V85" s="69">
        <f>IF(V68=11," одиннадцать",IF(V68=12," двенадцать",IF(V68=13," тринадцать",IF(V68=14," четырнадцать",IF(V68=15," пятнадцать",IF(V68=16," шестнадцать",IF(V68=17," семнадцать","")))))))</f>
      </c>
      <c r="W85" s="69">
        <f>IF(V68=18," восемнадцать",IF(V68=19," девятнадцать",""))</f>
      </c>
      <c r="AF85" s="69">
        <f>IF(AI70=0,PROPER(AH85),AH85)</f>
      </c>
      <c r="AG85" s="69">
        <v>14</v>
      </c>
      <c r="AH85" s="75">
        <f>AI85&amp;AJ85</f>
      </c>
      <c r="AI85" s="69">
        <f>IF(AI68=11," одиннадцать",IF(AI68=12," двенадцать",IF(AI68=13," тринадцать",IF(AI68=14," четырнадцать",IF(AI68=15," пятнадцать",IF(AI68=16," шестнадцать",IF(AI68=17," семнадцать","")))))))</f>
      </c>
      <c r="AJ85" s="69">
        <f>IF(AI68=18," восемнадцать",IF(AI68=19," девятнадцать",""))</f>
      </c>
      <c r="AS85" s="69">
        <f>IF(AV70=0,PROPER(AU85),AU85)</f>
      </c>
      <c r="AT85" s="69">
        <v>14</v>
      </c>
      <c r="AU85" s="75">
        <f>AV85&amp;AW85</f>
      </c>
      <c r="AV85" s="69">
        <f>IF(AV68=11," одиннадцать",IF(AV68=12," двенадцать",IF(AV68=13," тринадцать",IF(AV68=14," четырнадцать",IF(AV68=15," пятнадцать",IF(AV68=16," шестнадцать",IF(AV68=17," семнадцать","")))))))</f>
      </c>
      <c r="AW85" s="69">
        <f>IF(AV68=18," восемнадцать",IF(AV68=19," девятнадцать",""))</f>
      </c>
    </row>
    <row r="86" spans="7:49" s="69" customFormat="1" ht="12" customHeight="1" hidden="1">
      <c r="G86" s="69">
        <f>IF(SUM(J70)=0,PROPER(I86),I86)</f>
      </c>
      <c r="H86" s="69">
        <v>15</v>
      </c>
      <c r="I86" s="75">
        <f>IF(AND(J68&lt;20,J68&gt;10),"",J86&amp;K86)</f>
      </c>
      <c r="J86" s="69">
        <f>IF(J69=10," десять",IF(J69=20," двадцать",IF(J69=30," тридцать",IF(J69=40," сорок",IF(J69=50," пятьдесят",IF(J69=60," шестьдесят",""))))))</f>
      </c>
      <c r="K86" s="69">
        <f>IF(J69=70," семьдесят",IF(J69=80," восемьдесят",IF(J69=90," девяносто","")))</f>
      </c>
      <c r="S86" s="69">
        <f>IF(SUM(V70)=0,PROPER(U86),U86)</f>
      </c>
      <c r="T86" s="69">
        <v>15</v>
      </c>
      <c r="U86" s="75">
        <f>IF(AND(V68&lt;20,V68&gt;10),"",V86&amp;W86)</f>
      </c>
      <c r="V86" s="69">
        <f>IF(V69=10," десять",IF(V69=20," двадцать",IF(V69=30," тридцать",IF(V69=40," сорок",IF(V69=50," пятьдесят",IF(V69=60," шестьдесят",""))))))</f>
      </c>
      <c r="W86" s="69">
        <f>IF(V69=70," семьдесят",IF(V69=80," восемьдесят",IF(V69=90," девяносто","")))</f>
      </c>
      <c r="AF86" s="69">
        <f>IF(SUM(AI70)=0,PROPER(AH86),AH86)</f>
      </c>
      <c r="AG86" s="69">
        <v>15</v>
      </c>
      <c r="AH86" s="75">
        <f>IF(AND(AI68&lt;20,AI68&gt;10),"",AI86&amp;AJ86)</f>
      </c>
      <c r="AI86" s="69">
        <f>IF(AI69=10," десять",IF(AI69=20," двадцать",IF(AI69=30," тридцать",IF(AI69=40," сорок",IF(AI69=50," пятьдесят",IF(AI69=60," шестьдесят",""))))))</f>
      </c>
      <c r="AJ86" s="69">
        <f>IF(AI69=70," семьдесят",IF(AI69=80," восемьдесят",IF(AI69=90," девяносто","")))</f>
      </c>
      <c r="AS86" s="69">
        <f>IF(SUM(AV70)=0,PROPER(AU86),AU86)</f>
      </c>
      <c r="AT86" s="69">
        <v>15</v>
      </c>
      <c r="AU86" s="75">
        <f>IF(AND(AV68&lt;20,AV68&gt;10),"",AV86&amp;AW86)</f>
      </c>
      <c r="AV86" s="69">
        <f>IF(AV69=10," десять",IF(AV69=20," двадцать",IF(AV69=30," тридцать",IF(AV69=40," сорок",IF(AV69=50," пятьдесят",IF(AV69=60," шестьдесят",""))))))</f>
      </c>
      <c r="AW86" s="69">
        <f>IF(AV69=70," семьдесят",IF(AV69=80," восемьдесят",IF(AV69=90," девяносто","")))</f>
      </c>
    </row>
    <row r="87" spans="7:49" s="69" customFormat="1" ht="12" customHeight="1" hidden="1">
      <c r="G87" s="69">
        <f>PROPER(I87)</f>
      </c>
      <c r="H87" s="69">
        <v>16</v>
      </c>
      <c r="I87" s="75">
        <f>J87&amp;K87</f>
      </c>
      <c r="J87" s="69">
        <f>IF(J70=100," сто",IF(J70=200," двести",IF(J70=300," триста",IF(J70=400," четыреста",IF(J70=500," пятьсот",IF(J70=600," шестьсот",""))))))</f>
      </c>
      <c r="K87" s="69">
        <f>IF(J70=700," семьсот",IF(J70=800," восемьсот",IF(J70=900," девятьсот","")))</f>
      </c>
      <c r="S87" s="69">
        <f>PROPER(U87)</f>
      </c>
      <c r="T87" s="69">
        <v>16</v>
      </c>
      <c r="U87" s="75">
        <f>V87&amp;W87</f>
      </c>
      <c r="V87" s="69">
        <f>IF(V70=100," сто",IF(V70=200," двести",IF(V70=300," триста",IF(V70=400," четыреста",IF(V70=500," пятьсот",IF(V70=600," шестьсот",""))))))</f>
      </c>
      <c r="W87" s="69">
        <f>IF(V70=700," семьсот",IF(V70=800," восемьсот",IF(V70=900," девятьсот","")))</f>
      </c>
      <c r="AF87" s="69">
        <f>PROPER(AH87)</f>
      </c>
      <c r="AG87" s="69">
        <v>16</v>
      </c>
      <c r="AH87" s="75">
        <f>AI87&amp;AJ87</f>
      </c>
      <c r="AI87" s="69">
        <f>IF(AI70=100," сто",IF(AI70=200," двести",IF(AI70=300," триста",IF(AI70=400," четыреста",IF(AI70=500," пятьсот",IF(AI70=600," шестьсот",""))))))</f>
      </c>
      <c r="AJ87" s="69">
        <f>IF(AI70=700," семьсот",IF(AI70=800," восемьсот",IF(AI70=900," девятьсот","")))</f>
      </c>
      <c r="AS87" s="69">
        <f>PROPER(AU87)</f>
      </c>
      <c r="AT87" s="69">
        <v>16</v>
      </c>
      <c r="AU87" s="75">
        <f>AV87&amp;AW87</f>
      </c>
      <c r="AV87" s="69">
        <f>IF(AV70=100," сто",IF(AV70=200," двести",IF(AV70=300," триста",IF(AV70=400," четыреста",IF(AV70=500," пятьсот",IF(AV70=600," шестьсот",""))))))</f>
      </c>
      <c r="AW87" s="69">
        <f>IF(AV70=700," семьсот",IF(AV70=800," восемьсот",IF(AV70=900," девятьсот","")))</f>
      </c>
    </row>
    <row r="88" s="69" customFormat="1" ht="12" customHeight="1" hidden="1"/>
    <row r="89" s="67" customFormat="1" ht="12" customHeight="1" hidden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24" customWidth="1"/>
    <col min="2" max="2" width="9.00390625" style="24" customWidth="1"/>
    <col min="3" max="3" width="6.625" style="24" customWidth="1"/>
    <col min="4" max="4" width="13.625" style="24" customWidth="1"/>
    <col min="5" max="5" width="23.00390625" style="24" customWidth="1"/>
    <col min="6" max="6" width="9.375" style="24" customWidth="1"/>
    <col min="7" max="7" width="9.125" style="24" customWidth="1"/>
    <col min="8" max="8" width="13.25390625" style="38" customWidth="1"/>
    <col min="9" max="9" width="10.125" style="24" bestFit="1" customWidth="1"/>
    <col min="10" max="12" width="9.125" style="24" customWidth="1"/>
    <col min="13" max="13" width="15.375" style="24" bestFit="1" customWidth="1"/>
    <col min="14" max="16" width="9.125" style="24" customWidth="1"/>
    <col min="17" max="17" width="15.375" style="24" bestFit="1" customWidth="1"/>
    <col min="18" max="16384" width="9.125" style="24" customWidth="1"/>
  </cols>
  <sheetData>
    <row r="1" spans="2:8" ht="15.75">
      <c r="B1" s="25"/>
      <c r="C1" s="25"/>
      <c r="D1" s="25"/>
      <c r="E1" s="26">
        <f>'Платежный ордер'!AU18</f>
        <v>456.88</v>
      </c>
      <c r="H1" s="27"/>
    </row>
    <row r="2" spans="1:19" ht="15.75">
      <c r="A2" s="28" t="s">
        <v>16</v>
      </c>
      <c r="B2" s="29" t="str">
        <f>SUBSTITUTE(B4,F8,F9,1)</f>
        <v>Четыреста пятьдесят шесть белорусских рублей </v>
      </c>
      <c r="E2" s="30"/>
      <c r="H2" s="31"/>
      <c r="I2" s="32"/>
      <c r="J2" s="31"/>
      <c r="K2" s="31"/>
      <c r="L2" s="31"/>
      <c r="M2" s="33" t="s">
        <v>17</v>
      </c>
      <c r="N2" s="169">
        <f ca="1">TODAY()</f>
        <v>44272</v>
      </c>
      <c r="O2" s="169"/>
      <c r="P2" s="32">
        <f>DAY(N2)</f>
        <v>17</v>
      </c>
      <c r="Q2" s="34" t="str">
        <f>IF(Q3&gt;7,S2,S3)</f>
        <v>марта</v>
      </c>
      <c r="R2" s="33">
        <f>YEAR(N2)</f>
        <v>2021</v>
      </c>
      <c r="S2" s="31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28" t="s">
        <v>18</v>
      </c>
      <c r="B3" s="35" t="str">
        <f>SUBSTITUTE(B5,F8,F9,1)</f>
        <v>Четыреста пятьдесят шесть белорусских рублей </v>
      </c>
      <c r="H3" s="31"/>
      <c r="I3" s="31"/>
      <c r="J3" s="31"/>
      <c r="K3" s="170" t="str">
        <f>CONCATENATE(" «  ",P2,"  »  ",Q2,"  ",R2," г.")</f>
        <v> «  17  »  марта  2021 г.</v>
      </c>
      <c r="L3" s="170"/>
      <c r="M3" s="170"/>
      <c r="N3" s="36"/>
      <c r="O3" s="36"/>
      <c r="P3" s="31"/>
      <c r="Q3" s="34">
        <f>MONTH(N2)</f>
        <v>3</v>
      </c>
      <c r="R3" s="31"/>
      <c r="S3" s="31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37" t="s">
        <v>19</v>
      </c>
      <c r="B4" s="35" t="str">
        <f>CONCATENATE(A7,A8,A9,A10)</f>
        <v>четыреста пятьдесят шесть белорусских рублей </v>
      </c>
    </row>
    <row r="5" spans="1:10" s="35" customFormat="1" ht="12.75">
      <c r="A5" s="37" t="s">
        <v>20</v>
      </c>
      <c r="B5" s="35" t="str">
        <f>CONCATENATE(A7,A8,A9,A10,A11,B7,B8,C8)</f>
        <v>четыреста пятьдесят шесть белорусских рублей </v>
      </c>
      <c r="C5" s="24"/>
      <c r="D5" s="24"/>
      <c r="E5" s="24"/>
      <c r="H5" s="39"/>
      <c r="I5" s="39"/>
      <c r="J5" s="39"/>
    </row>
    <row r="6" spans="4:10" ht="12.75" customHeight="1">
      <c r="D6" s="38"/>
      <c r="H6" s="39"/>
      <c r="I6" s="39"/>
      <c r="J6" s="39"/>
    </row>
    <row r="7" spans="1:10" ht="12.75" customHeight="1">
      <c r="A7" s="40">
        <f>CONCATENATE(IF(B14=0,"",E14),IF(B15=0,"",IF(C16&lt;20,IF(C16&lt;16,IF(C16&lt;10,E15,D16),F16),E15)),IF(B16=0,"",IF(NOT(B15=1),E16,"")),F17)</f>
      </c>
      <c r="D7" s="38"/>
      <c r="F7" s="41">
        <f>CODE(B5)</f>
        <v>247</v>
      </c>
      <c r="G7" s="40"/>
      <c r="H7" s="39"/>
      <c r="I7" s="39"/>
      <c r="J7" s="39"/>
    </row>
    <row r="8" spans="1:17" ht="12.75" customHeight="1">
      <c r="A8" s="40">
        <f>CONCATENATE(IF(B18=0,"",E18),IF(B19=0,"",IF(C20&lt;20,IF(C20&lt;16,IF(C20&lt;10,E19,D20),F20),E19)),IF(B20=0,"",IF(NOT(B19=1),E20,"")),F21)</f>
      </c>
      <c r="B8" s="42"/>
      <c r="D8" s="43"/>
      <c r="F8" s="41" t="str">
        <f>CHAR(F7)</f>
        <v>ч</v>
      </c>
      <c r="G8" s="40"/>
      <c r="H8" s="39"/>
      <c r="I8" s="39"/>
      <c r="J8" s="39"/>
      <c r="Q8" s="44"/>
    </row>
    <row r="9" spans="1:10" s="40" customFormat="1" ht="12.75" customHeight="1">
      <c r="A9" s="40">
        <f>CONCATENATE(IF(B22=0,"",E22),IF(B23=0,"",IF(C24&lt;20,IF(C24&lt;16,IF(C24&lt;10,E23,D24),F24),E23)),IF(B24=0,"",IF(NOT(B23=1),E24,"")),F25)</f>
      </c>
      <c r="D9" s="39"/>
      <c r="E9" s="45"/>
      <c r="F9" s="41" t="str">
        <f>PROPER(F8)</f>
        <v>Ч</v>
      </c>
      <c r="H9" s="39"/>
      <c r="I9" s="39"/>
      <c r="J9" s="39"/>
    </row>
    <row r="10" spans="1:10" s="40" customFormat="1" ht="12.75" customHeight="1">
      <c r="A10" s="40" t="str">
        <f>CONCATENATE(IF(B26=0,"",E26),IF(B27=0,"",IF(C28&lt;20,IF(C28&lt;16,IF(C28&lt;10,E27,D28),F28),E27)),IF(B28=0,"",IF(NOT(B27=1),E28,"")),F29)</f>
        <v>четыреста пятьдесят шесть белорусских рублей </v>
      </c>
      <c r="D10" s="39"/>
      <c r="E10" s="45"/>
      <c r="H10" s="39"/>
      <c r="I10" s="39"/>
      <c r="J10" s="39"/>
    </row>
    <row r="11" spans="1:13" s="40" customFormat="1" ht="12.75">
      <c r="A11" s="46"/>
      <c r="D11" s="39"/>
      <c r="E11" s="45"/>
      <c r="M11" s="47"/>
    </row>
    <row r="12" spans="1:13" s="40" customFormat="1" ht="12.75">
      <c r="A12" s="46"/>
      <c r="E12" s="48">
        <f>TRUNC(E1)</f>
        <v>456</v>
      </c>
      <c r="F12" s="40" t="s">
        <v>21</v>
      </c>
      <c r="H12" s="39"/>
      <c r="M12" s="49"/>
    </row>
    <row r="13" spans="1:8" s="40" customFormat="1" ht="12.75">
      <c r="A13" s="50">
        <f>TRUNC(A14/10)</f>
        <v>0</v>
      </c>
      <c r="B13" s="39"/>
      <c r="H13" s="39"/>
    </row>
    <row r="14" spans="1:8" s="40" customFormat="1" ht="12.75">
      <c r="A14" s="50">
        <f>TRUNC(A15/10)</f>
        <v>0</v>
      </c>
      <c r="B14" s="39">
        <f>TRUNC(RIGHT(A14))</f>
        <v>0</v>
      </c>
      <c r="C14" s="40">
        <f>B14</f>
        <v>0</v>
      </c>
      <c r="E14" s="51" t="str">
        <f>IF(B14=1,E42,IF(B14=2,G34,IF(B14=3,G35,IF(B14=4,G36,IF(B14=5,G37,IF(B14=6,G38,IF(B14=7,G39,IF(B14=8,G40,G41))))))))</f>
        <v>девятьсот </v>
      </c>
      <c r="H14" s="39"/>
    </row>
    <row r="15" spans="1:8" s="40" customFormat="1" ht="12.75">
      <c r="A15" s="50">
        <f>TRUNC(A16/10)</f>
        <v>0</v>
      </c>
      <c r="B15" s="39">
        <f>TRUNC(RIGHT(A15))</f>
        <v>0</v>
      </c>
      <c r="C15" s="40">
        <f>IF(B15=1,"",B15)</f>
        <v>0</v>
      </c>
      <c r="E15" s="52">
        <f>IF(OR(C15=0,B15=1),"",IF(B15=2,E34,IF(B15=3,E35,IF(B15=4,E36,IF(B15=5,E37,IF(B15=6,E38,IF(B15=7,E39,IF(B15=8,E40,E41))))))))</f>
      </c>
      <c r="H15" s="39"/>
    </row>
    <row r="16" spans="1:8" s="40" customFormat="1" ht="12.75">
      <c r="A16" s="50">
        <f>TRUNC(A18/10)</f>
        <v>0</v>
      </c>
      <c r="B16" s="39">
        <f>TRUNC(RIGHT(A16))</f>
        <v>0</v>
      </c>
      <c r="C16" s="40">
        <f>IF(B15=1,B16+10,IF(B16=0,0,B16))</f>
        <v>0</v>
      </c>
      <c r="D16" s="40">
        <f>IF(AND(C16&gt;9,C16&lt;16),IF(C16=10,D33,IF(C16=11,D34,IF(C16=12,D35,IF(C16=13,D36,IF(C16=14,D37,IF(C16=15,D38,)))))),"")</f>
      </c>
      <c r="E16" s="52" t="str">
        <f>IF(B16=1,A33,IF(B16=2,A34,IF(B16=3,A35,IF(B16=4,A36,IF(B16=5,A37,IF(B16=6,A38,IF(B16=7,A39,IF(B16=8,A40,A41))))))))</f>
        <v>девять </v>
      </c>
      <c r="F16" s="40">
        <f>IF(AND(C16&gt;15,C16&lt;20),IF(C16=16,D39,IF(C16=17,D40,IF(C16=18,D41,IF(C16=19,D42,)))),"")</f>
      </c>
      <c r="H16" s="39"/>
    </row>
    <row r="17" spans="1:8" s="40" customFormat="1" ht="12.75">
      <c r="A17" s="50"/>
      <c r="B17" s="39"/>
      <c r="D17" s="39"/>
      <c r="E17" s="40">
        <f>B16+B15*10+B14*100</f>
        <v>0</v>
      </c>
      <c r="F17" s="40">
        <f>IF(E17=0,"",IF(B15=1,"миллиардов ",IF(B16=1,"милиард ",IF(OR(B16=2,B16=3,B16=4),"миллиарда ","милиардов "))))</f>
      </c>
      <c r="H17" s="39"/>
    </row>
    <row r="18" spans="1:8" s="40" customFormat="1" ht="12.75">
      <c r="A18" s="50">
        <f>TRUNC(A19/10)</f>
        <v>0</v>
      </c>
      <c r="B18" s="39">
        <f>TRUNC(RIGHT(A18))</f>
        <v>0</v>
      </c>
      <c r="C18" s="40">
        <f>B18</f>
        <v>0</v>
      </c>
      <c r="E18" s="51" t="str">
        <f>IF(B18=1,E42,IF(B18=2,G34,IF(B18=3,G35,IF(B18=4,G36,IF(B18=5,G37,IF(B18=6,G38,IF(B18=7,G39,IF(B18=8,G40,G41))))))))</f>
        <v>девятьсот </v>
      </c>
      <c r="H18" s="39"/>
    </row>
    <row r="19" spans="1:6" ht="12.75">
      <c r="A19" s="50">
        <f>TRUNC(A20/10)</f>
        <v>0</v>
      </c>
      <c r="B19" s="39">
        <f>TRUNC(RIGHT(A19))</f>
        <v>0</v>
      </c>
      <c r="C19" s="40">
        <f>IF(B19=1,"",B19)</f>
        <v>0</v>
      </c>
      <c r="D19" s="40"/>
      <c r="E19" s="52">
        <f>IF(OR(C19=0,B19=1),"",IF(B19=2,E34,IF(B19=3,E35,IF(B19=4,E36,IF(B19=5,E37,IF(B19=6,E38,IF(B19=7,E39,IF(B19=8,E40,E41))))))))</f>
      </c>
      <c r="F19" s="40"/>
    </row>
    <row r="20" spans="1:6" s="40" customFormat="1" ht="12.75">
      <c r="A20" s="50">
        <f>TRUNC(A22/10)</f>
        <v>0</v>
      </c>
      <c r="B20" s="39">
        <f>TRUNC(RIGHT(A20))</f>
        <v>0</v>
      </c>
      <c r="C20" s="40">
        <f>IF(B19=1,B20+10,IF(B20=0,0,B20))</f>
        <v>0</v>
      </c>
      <c r="D20" s="40">
        <f>IF(AND(C20&gt;9,C20&lt;16),IF(C20=10,D33,IF(C20=11,D34,IF(C20=12,D35,IF(C20=13,D36,IF(C20=14,D37,IF(C20=15,D38,)))))),"")</f>
      </c>
      <c r="E20" s="52" t="str">
        <f>IF(B20=1,A33,IF(B20=2,A34,IF(B20=3,A35,IF(B20=4,A36,IF(B20=5,A37,IF(B20=6,A38,IF(B20=7,A39,IF(B20=8,A40,A41))))))))</f>
        <v>девять </v>
      </c>
      <c r="F20" s="40">
        <f>IF(AND(C20&gt;15,C20&lt;20),IF(C20=16,D39,IF(C20=17,D40,IF(C20=18,D41,IF(C20=19,D42,)))),"")</f>
      </c>
    </row>
    <row r="21" spans="1:6" s="40" customFormat="1" ht="12.75">
      <c r="A21" s="50"/>
      <c r="B21" s="39"/>
      <c r="E21" s="40">
        <f>B20+B19*10+B18*100</f>
        <v>0</v>
      </c>
      <c r="F21" s="40">
        <f>IF(E21=0,"",IF(B19=1,"миллионов ",IF(B20=1,"миллион ",IF(OR(B20=2,B20=3,B20=4),"миллиона ","миллионов "))))</f>
      </c>
    </row>
    <row r="22" spans="1:9" s="40" customFormat="1" ht="12.75">
      <c r="A22" s="50">
        <f>TRUNC(A23/10)</f>
        <v>0</v>
      </c>
      <c r="B22" s="39">
        <f>TRUNC(RIGHT(A22))</f>
        <v>0</v>
      </c>
      <c r="C22" s="40">
        <f>B22</f>
        <v>0</v>
      </c>
      <c r="E22" s="51" t="str">
        <f>IF(B22=1,E42,IF(B22=2,G34,IF(B22=3,G35,IF(B22=4,G36,IF(B22=5,G37,IF(B22=6,G38,IF(B22=7,G39,IF(B22=8,G40,G41))))))))</f>
        <v>девятьсот </v>
      </c>
      <c r="I22" s="47"/>
    </row>
    <row r="23" spans="1:5" s="40" customFormat="1" ht="12.75">
      <c r="A23" s="50">
        <f>TRUNC(A24/10)</f>
        <v>0</v>
      </c>
      <c r="B23" s="39">
        <f>TRUNC(RIGHT(A23))</f>
        <v>0</v>
      </c>
      <c r="C23" s="40">
        <f>IF(B23=1,"",B23)</f>
        <v>0</v>
      </c>
      <c r="E23" s="52">
        <f>IF(OR(C23=0,B23=1),"",IF(B23=2,E34,IF(B23=3,E35,IF(B23=4,E36,IF(B23=5,E37,IF(B23=6,E38,IF(B23=7,E39,IF(B23=8,E40,E41))))))))</f>
      </c>
    </row>
    <row r="24" spans="1:6" s="40" customFormat="1" ht="12.75">
      <c r="A24" s="50">
        <f>TRUNC(A26/10)</f>
        <v>0</v>
      </c>
      <c r="B24" s="39">
        <f>TRUNC(RIGHT(A24))</f>
        <v>0</v>
      </c>
      <c r="C24" s="40">
        <f>IF(B23=1,B24+10,IF(B24=0,0,B24))</f>
        <v>0</v>
      </c>
      <c r="D24" s="40">
        <f>IF(AND(C24&gt;9,C24&lt;16),IF(C24=10,D33,IF(C24=11,D34,IF(C24=12,D35,IF(C24=13,D36,IF(C24=14,D37,IF(C24=15,D38,)))))),"")</f>
      </c>
      <c r="E24" s="52" t="str">
        <f>IF(B24=1,B33,IF(B24=2,B34,IF(B24=3,A35,IF(B24=4,A36,IF(B24=5,A37,IF(B24=6,A38,IF(B24=7,A39,IF(B24=8,A40,A41))))))))</f>
        <v>девять </v>
      </c>
      <c r="F24" s="40">
        <f>IF(AND(C24&gt;15,C24&lt;20),IF(C24=16,D39,IF(C24=17,D40,IF(C24=18,D41,IF(C24=19,D42,)))),"")</f>
      </c>
    </row>
    <row r="25" spans="1:6" s="40" customFormat="1" ht="12.75">
      <c r="A25" s="50"/>
      <c r="B25" s="39"/>
      <c r="E25" s="52">
        <f>B22*100+B23*10+B24</f>
        <v>0</v>
      </c>
      <c r="F25" s="40">
        <f>IF(E25=0,"",IF(B23=1,"тысяч ",IF(B24=1,"тысяча ",IF(OR(B24=2,B24=3,B24=4),"тысячи ","тысяч "))))</f>
      </c>
    </row>
    <row r="26" spans="1:5" s="40" customFormat="1" ht="12.75">
      <c r="A26" s="50">
        <f>TRUNC(A27/10)</f>
        <v>4</v>
      </c>
      <c r="B26" s="39">
        <f>TRUNC(RIGHT(A26))</f>
        <v>4</v>
      </c>
      <c r="C26" s="40">
        <f>B26</f>
        <v>4</v>
      </c>
      <c r="E26" s="51" t="str">
        <f>IF(B26=1,E42,IF(B26=2,G34,IF(B26=3,G35,IF(B26=4,G36,IF(B26=5,G37,IF(B26=6,G38,IF(B26=7,G39,IF(B26=8,G40,G41))))))))</f>
        <v>четыреста </v>
      </c>
    </row>
    <row r="27" spans="1:7" s="40" customFormat="1" ht="12.75">
      <c r="A27" s="50">
        <f>TRUNC(A28/10)</f>
        <v>45</v>
      </c>
      <c r="B27" s="53">
        <f>TRUNC(RIGHT(A27))</f>
        <v>5</v>
      </c>
      <c r="C27" s="40">
        <f>IF(B27=1,"",B27)</f>
        <v>5</v>
      </c>
      <c r="E27" s="52" t="str">
        <f>IF(OR(C27=0,B27=1),"",IF(C27=2,E34,IF(C27=3,E35,IF(C27=4,E36,IF(C27=5,E37,IF(C27=6,E38,IF(C27=7,E39,IF(C27=8,E40,E41))))))))</f>
        <v>пятьдесят </v>
      </c>
      <c r="G27" s="39"/>
    </row>
    <row r="28" spans="1:7" s="40" customFormat="1" ht="12.75">
      <c r="A28" s="50">
        <f>E12</f>
        <v>456</v>
      </c>
      <c r="B28" s="39">
        <f>TRUNC(RIGHT(A28))</f>
        <v>6</v>
      </c>
      <c r="C28" s="40">
        <f>IF(B27=1,B28+10,IF(B28=0,0,B28))</f>
        <v>6</v>
      </c>
      <c r="D28" s="40">
        <f>IF(AND(C28&gt;9,C28&lt;16),IF(C28=10,D33,IF(C28=11,D34,IF(C28=12,D35,IF(C28=13,D36,IF(C28=14,D37,IF(C28=15,D38,)))))),"")</f>
      </c>
      <c r="E28" s="52" t="str">
        <f>IF(B28=1,A33,IF(B28=2,A34,IF(B28=3,A35,IF(B28=4,A36,IF(B28=5,A37,IF(B28=6,A38,IF(B28=7,A39,IF(B28=8,A40,A41))))))))</f>
        <v>шесть </v>
      </c>
      <c r="F28" s="40">
        <f>IF(AND(C28&gt;15,C28&lt;20),IF(C28=16,D39,IF(C28=17,D40,IF(C28=18,D41,IF(C28=19,D42,)))),"")</f>
      </c>
      <c r="G28" s="39"/>
    </row>
    <row r="29" spans="1:7" s="40" customFormat="1" ht="12.75">
      <c r="A29" s="46"/>
      <c r="B29" s="53"/>
      <c r="C29" s="39"/>
      <c r="E29" s="52">
        <f>B26*100+B27*10+B28</f>
        <v>456</v>
      </c>
      <c r="F29" s="40" t="str">
        <f>IF(E29+E25+E21+E17=0,"ноль белорусских рублей ",IF(C28=1,"белорусский рубль ",IF(OR(C28=2,C28=3,C28=4),"белорусских рубля ","белорусских рублей ")))</f>
        <v>белорусских рублей </v>
      </c>
      <c r="G29" s="39"/>
    </row>
    <row r="30" spans="1:8" s="40" customFormat="1" ht="12.75">
      <c r="A30" s="54">
        <f>ROUND(100*(E1-E12),0)</f>
        <v>88</v>
      </c>
      <c r="C30" s="39">
        <f>TRUNC(A30/10)</f>
        <v>8</v>
      </c>
      <c r="E30" s="52" t="str">
        <f>IF(OR(C30=1,C30=0),"",IF(C30=2,E34,IF(C30=3,E35,IF(C30=4,E36,IF(C30=5,E37,IF(C30=6,E38,IF(C30=7,E39,IF(C30=8,E40,E41))))))))</f>
        <v>восемьдесят </v>
      </c>
      <c r="H30" s="39"/>
    </row>
    <row r="31" spans="3:8" s="40" customFormat="1" ht="12.75">
      <c r="C31" s="39">
        <f>TRUNC(A30-C30*10)</f>
        <v>8</v>
      </c>
      <c r="E31" s="52" t="str">
        <f>IF(C31=1,B33,IF(C31=2,B34,IF(C31=3,A35,IF(C31=4,A36,IF(C31=5,A37,IF(C31=6,A38,IF(C31=7,A39,IF(C31=8,A40,A41))))))))</f>
        <v>восемь </v>
      </c>
      <c r="H31" s="39"/>
    </row>
    <row r="32" s="40" customFormat="1" ht="12.75">
      <c r="H32" s="39"/>
    </row>
    <row r="33" spans="1:8" s="40" customFormat="1" ht="12.75">
      <c r="A33" s="40" t="s">
        <v>22</v>
      </c>
      <c r="B33" s="40" t="s">
        <v>23</v>
      </c>
      <c r="D33" s="40" t="s">
        <v>24</v>
      </c>
      <c r="H33" s="39"/>
    </row>
    <row r="34" spans="1:7" s="40" customFormat="1" ht="12.75">
      <c r="A34" s="40" t="s">
        <v>25</v>
      </c>
      <c r="B34" s="40" t="s">
        <v>26</v>
      </c>
      <c r="D34" s="40" t="s">
        <v>27</v>
      </c>
      <c r="E34" s="40" t="s">
        <v>28</v>
      </c>
      <c r="G34" s="40" t="s">
        <v>29</v>
      </c>
    </row>
    <row r="35" spans="1:7" s="40" customFormat="1" ht="12.75">
      <c r="A35" s="40" t="s">
        <v>30</v>
      </c>
      <c r="D35" s="40" t="s">
        <v>31</v>
      </c>
      <c r="E35" s="40" t="s">
        <v>32</v>
      </c>
      <c r="G35" s="40" t="s">
        <v>33</v>
      </c>
    </row>
    <row r="36" spans="1:7" s="40" customFormat="1" ht="12.75">
      <c r="A36" s="40" t="s">
        <v>34</v>
      </c>
      <c r="D36" s="40" t="s">
        <v>35</v>
      </c>
      <c r="E36" s="40" t="s">
        <v>36</v>
      </c>
      <c r="G36" s="40" t="s">
        <v>37</v>
      </c>
    </row>
    <row r="37" spans="1:7" s="40" customFormat="1" ht="12.75">
      <c r="A37" s="40" t="s">
        <v>38</v>
      </c>
      <c r="D37" s="40" t="s">
        <v>39</v>
      </c>
      <c r="E37" s="40" t="s">
        <v>40</v>
      </c>
      <c r="G37" s="40" t="s">
        <v>41</v>
      </c>
    </row>
    <row r="38" spans="1:7" s="40" customFormat="1" ht="12.75">
      <c r="A38" s="40" t="s">
        <v>42</v>
      </c>
      <c r="D38" s="40" t="s">
        <v>43</v>
      </c>
      <c r="E38" s="40" t="s">
        <v>44</v>
      </c>
      <c r="G38" s="40" t="s">
        <v>45</v>
      </c>
    </row>
    <row r="39" spans="1:7" s="40" customFormat="1" ht="12.75">
      <c r="A39" s="40" t="s">
        <v>46</v>
      </c>
      <c r="D39" s="40" t="s">
        <v>47</v>
      </c>
      <c r="E39" s="40" t="s">
        <v>48</v>
      </c>
      <c r="G39" s="40" t="s">
        <v>49</v>
      </c>
    </row>
    <row r="40" spans="1:7" s="40" customFormat="1" ht="12.75">
      <c r="A40" s="55" t="s">
        <v>50</v>
      </c>
      <c r="D40" s="40" t="s">
        <v>51</v>
      </c>
      <c r="E40" s="40" t="s">
        <v>52</v>
      </c>
      <c r="G40" s="40" t="s">
        <v>53</v>
      </c>
    </row>
    <row r="41" spans="1:7" s="40" customFormat="1" ht="12.75">
      <c r="A41" s="40" t="s">
        <v>54</v>
      </c>
      <c r="D41" s="40" t="s">
        <v>55</v>
      </c>
      <c r="E41" s="40" t="s">
        <v>56</v>
      </c>
      <c r="G41" s="40" t="s">
        <v>57</v>
      </c>
    </row>
    <row r="42" spans="4:8" s="40" customFormat="1" ht="12.75">
      <c r="D42" s="40" t="s">
        <v>58</v>
      </c>
      <c r="E42" s="40" t="s">
        <v>59</v>
      </c>
      <c r="H42" s="39"/>
    </row>
    <row r="43" s="40" customFormat="1" ht="12.75">
      <c r="H43" s="39"/>
    </row>
    <row r="44" s="40" customFormat="1" ht="12.75">
      <c r="H44" s="39"/>
    </row>
    <row r="45" s="40" customFormat="1" ht="12.75">
      <c r="H45" s="39"/>
    </row>
    <row r="46" s="40" customFormat="1" ht="12.75">
      <c r="H46" s="39"/>
    </row>
    <row r="47" s="40" customFormat="1" ht="12.75">
      <c r="H47" s="39"/>
    </row>
    <row r="48" s="40" customFormat="1" ht="12.75">
      <c r="H48" s="39"/>
    </row>
    <row r="96" spans="1:4" ht="12.75">
      <c r="A96" s="171"/>
      <c r="B96" s="171"/>
      <c r="C96" s="171"/>
      <c r="D96" s="171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2020-03-31T12:38:55Z</cp:lastPrinted>
  <dcterms:created xsi:type="dcterms:W3CDTF">2003-10-18T11:05:50Z</dcterms:created>
  <dcterms:modified xsi:type="dcterms:W3CDTF">2021-03-17T08:35:41Z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