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activeTab="0"/>
  </bookViews>
  <sheets>
    <sheet name="ТН-2" sheetId="1" r:id="rId1"/>
    <sheet name="Лист1" sheetId="2" state="hidden" r:id="rId2"/>
  </sheets>
  <definedNames>
    <definedName name="Z_28FE73C4_2B4E_48EA_A01D_248F57E01289_.wvu.PrintArea" localSheetId="0" hidden="1">'ТН-2'!$C$3:$AK$77</definedName>
    <definedName name="_xlnm.Print_Area" localSheetId="0">'ТН-2'!$C$3:$AK$67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  <author>kozel</author>
    <author>shimanovich</author>
  </authors>
  <commentList>
    <comment ref="O12" authorId="0">
      <text>
        <r>
          <rPr>
            <sz val="8"/>
            <rFont val="Tahoma"/>
            <family val="0"/>
          </rPr>
          <t xml:space="preserve">Введите Код УНН грузоотправителя
</t>
        </r>
      </text>
    </comment>
    <comment ref="O17" authorId="0">
      <text>
        <r>
          <rPr>
            <b/>
            <sz val="8"/>
            <rFont val="Tahoma"/>
            <family val="0"/>
          </rPr>
          <t>Введите дату</t>
        </r>
      </text>
    </comment>
    <comment ref="R17" authorId="0">
      <text>
        <r>
          <rPr>
            <b/>
            <sz val="8"/>
            <rFont val="Tahoma"/>
            <family val="0"/>
          </rPr>
          <t xml:space="preserve">Введите месяц
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Введите год
</t>
        </r>
        <r>
          <rPr>
            <sz val="8"/>
            <rFont val="Tahoma"/>
            <family val="0"/>
          </rPr>
          <t xml:space="preserve">
</t>
        </r>
      </text>
    </comment>
    <comment ref="U12" authorId="1">
      <text>
        <r>
          <rPr>
            <sz val="8"/>
            <rFont val="Tahoma"/>
            <family val="2"/>
          </rPr>
          <t>Введите Код УНН грузополучателя</t>
        </r>
        <r>
          <rPr>
            <sz val="8"/>
            <rFont val="Tahoma"/>
            <family val="0"/>
          </rPr>
          <t xml:space="preserve">
</t>
        </r>
      </text>
    </comment>
    <comment ref="AK3" authorId="2">
      <text>
        <r>
          <rPr>
            <b/>
            <sz val="8"/>
            <rFont val="Tahoma"/>
            <family val="0"/>
          </rPr>
          <t>с изменениями, внесенными постановлением Министерства финансов Республики Беларусь от 28 апреля 2018 г. № 26</t>
        </r>
      </text>
    </comment>
  </commentList>
</comments>
</file>

<file path=xl/sharedStrings.xml><?xml version="1.0" encoding="utf-8"?>
<sst xmlns="http://schemas.openxmlformats.org/spreadsheetml/2006/main" count="185" uniqueCount="108">
  <si>
    <t>Основание отпуска</t>
  </si>
  <si>
    <t>ИТОГО</t>
  </si>
  <si>
    <t>(прописью)</t>
  </si>
  <si>
    <t>Заглавная без НДС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</si>
  <si>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</si>
  <si>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</si>
  <si>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</si>
  <si>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</si>
  <si>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</si>
  <si>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</si>
  <si>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</si>
  <si>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</si>
  <si>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</si>
  <si>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</si>
  <si>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</si>
  <si>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</si>
  <si>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</si>
  <si>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</si>
  <si>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</si>
  <si>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</si>
  <si>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</si>
  <si>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</si>
  <si>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</si>
  <si>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</si>
  <si>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</si>
  <si>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</si>
  <si>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</si>
  <si>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</si>
  <si>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</si>
  <si>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</si>
  <si>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</si>
  <si>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</si>
  <si>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</si>
  <si>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</si>
  <si>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</si>
  <si>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</si>
  <si>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</si>
  <si>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</si>
  <si>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</si>
  <si>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</si>
  <si>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</si>
  <si>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</si>
  <si>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</si>
  <si>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</si>
  <si>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</si>
  <si>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</si>
  <si>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г.</t>
  </si>
  <si>
    <t>"</t>
  </si>
  <si>
    <t>Грузоотправитель</t>
  </si>
  <si>
    <t>Грузополучатель</t>
  </si>
  <si>
    <t>(наименование, адрес)</t>
  </si>
  <si>
    <t>I. ТОВАРНЫЙ РАЗДЕЛ</t>
  </si>
  <si>
    <t>Примечание</t>
  </si>
  <si>
    <t>Ставка НДС, %</t>
  </si>
  <si>
    <t>Коли- чество</t>
  </si>
  <si>
    <t>Единица измерения</t>
  </si>
  <si>
    <t>Наименование товара</t>
  </si>
  <si>
    <t>x</t>
  </si>
  <si>
    <t xml:space="preserve">Всего сумма НДС </t>
  </si>
  <si>
    <t xml:space="preserve">Всего стоимость с НДС </t>
  </si>
  <si>
    <t xml:space="preserve">Отпуск разрешил </t>
  </si>
  <si>
    <t xml:space="preserve">Сдал грузоотправитель </t>
  </si>
  <si>
    <t>(должность, фамилия, инициалы, подпись)</t>
  </si>
  <si>
    <t xml:space="preserve">Товар к доставке принял </t>
  </si>
  <si>
    <t xml:space="preserve">по доверенности </t>
  </si>
  <si>
    <t xml:space="preserve">Принял грузополучатель </t>
  </si>
  <si>
    <t xml:space="preserve">С товаром переданы документы: </t>
  </si>
  <si>
    <t>выданной</t>
  </si>
  <si>
    <t>(номер, дата)</t>
  </si>
  <si>
    <t>(наименование организации)</t>
  </si>
  <si>
    <t>коп.</t>
  </si>
  <si>
    <t>УНП</t>
  </si>
  <si>
    <t>ноль для копеек</t>
  </si>
  <si>
    <t xml:space="preserve"> копейка</t>
  </si>
  <si>
    <t xml:space="preserve"> белорусский рубль </t>
  </si>
  <si>
    <t xml:space="preserve"> копейки</t>
  </si>
  <si>
    <t xml:space="preserve"> белорусских рубля </t>
  </si>
  <si>
    <t xml:space="preserve"> копеек</t>
  </si>
  <si>
    <t xml:space="preserve"> белорусских рублей </t>
  </si>
  <si>
    <t>BYR</t>
  </si>
  <si>
    <t>руб.</t>
  </si>
  <si>
    <t>RUB</t>
  </si>
  <si>
    <t>USD</t>
  </si>
  <si>
    <t>EUR</t>
  </si>
  <si>
    <t>Приложение 2</t>
  </si>
  <si>
    <t>30.06.2016 № 58</t>
  </si>
  <si>
    <t>к постановлению</t>
  </si>
  <si>
    <t>Министерства финансов</t>
  </si>
  <si>
    <t>Республики Беларусь</t>
  </si>
  <si>
    <t>Форма</t>
  </si>
  <si>
    <t>1-й экз. – грузополучателю</t>
  </si>
  <si>
    <t>2-й экз. – грузоотправителю</t>
  </si>
  <si>
    <t>Серия</t>
  </si>
  <si>
    <t>ТОВАРНАЯ НАКЛАДНАЯ</t>
  </si>
  <si>
    <t>Цена, руб. коп.</t>
  </si>
  <si>
    <t>Стоимость, руб. коп.</t>
  </si>
  <si>
    <t>Сумма НДС, руб. коп.</t>
  </si>
  <si>
    <t>Стоимость с НДС, руб. коп.</t>
  </si>
  <si>
    <t>(цифрами)</t>
  </si>
  <si>
    <t>(должность, фамилия,инициалы, подпись)</t>
  </si>
  <si>
    <t>с ндс</t>
  </si>
  <si>
    <t>без ндс</t>
  </si>
  <si>
    <t>Для справки - смотрите примечания к ячейкам E4 B8 B9 этого листа и H2 и C34 предыдущего.</t>
  </si>
  <si>
    <t xml:space="preserve"> (в т.ч. НДС - </t>
  </si>
  <si>
    <t>)</t>
  </si>
  <si>
    <t>Ноль</t>
  </si>
  <si>
    <t>(наименование, дата и номер документа)</t>
  </si>
  <si>
    <t>Форма действует с 18.05.2018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</si>
</sst>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  <numFmt numFmtId="184" formatCode="0.000"/>
    <numFmt numFmtId="185" formatCode="_-* #,##0[$р.-419]_-;\-* #,##0[$р.-419]_-;_-* &quot;-&quot;??[$р.-419]_-;_-@_-"/>
  </numFmts>
  <fonts count="6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2"/>
    </font>
    <font>
      <sz val="10"/>
      <color indexed="9"/>
      <name val="Times New Roman"/>
      <family val="1"/>
    </font>
    <font>
      <sz val="9"/>
      <color indexed="9"/>
      <name val="Arial Cyr"/>
      <family val="2"/>
    </font>
    <font>
      <sz val="7"/>
      <name val="Tahoma"/>
      <family val="2"/>
    </font>
    <font>
      <b/>
      <sz val="10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"/>
      <color indexed="26"/>
      <name val="Tahoma"/>
      <family val="2"/>
    </font>
    <font>
      <sz val="6"/>
      <color indexed="26"/>
      <name val="Arial Cyr"/>
      <family val="0"/>
    </font>
    <font>
      <b/>
      <sz val="6"/>
      <color indexed="26"/>
      <name val="Arial Cyr"/>
      <family val="2"/>
    </font>
    <font>
      <sz val="6"/>
      <color indexed="26"/>
      <name val="Tahoma"/>
      <family val="2"/>
    </font>
    <font>
      <b/>
      <sz val="6"/>
      <color indexed="26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b/>
      <sz val="9"/>
      <color indexed="8"/>
      <name val="Tahoma"/>
      <family val="2"/>
    </font>
    <font>
      <sz val="8"/>
      <color indexed="9"/>
      <name val="Tahoma"/>
      <family val="2"/>
    </font>
    <font>
      <sz val="10"/>
      <name val="Helv"/>
      <family val="0"/>
    </font>
    <font>
      <sz val="8"/>
      <color indexed="43"/>
      <name val="Tahoma"/>
      <family val="2"/>
    </font>
    <font>
      <sz val="12"/>
      <color indexed="9"/>
      <name val="Arial Cyr"/>
      <family val="2"/>
    </font>
    <font>
      <sz val="9"/>
      <color indexed="43"/>
      <name val="Times New Roman"/>
      <family val="1"/>
    </font>
    <font>
      <sz val="8"/>
      <color indexed="4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4" fillId="32" borderId="0" xfId="0" applyFont="1" applyFill="1" applyAlignment="1" applyProtection="1">
      <alignment vertical="center"/>
      <protection hidden="1"/>
    </xf>
    <xf numFmtId="3" fontId="15" fillId="34" borderId="0" xfId="0" applyNumberFormat="1" applyFont="1" applyFill="1" applyAlignment="1" applyProtection="1">
      <alignment/>
      <protection hidden="1"/>
    </xf>
    <xf numFmtId="0" fontId="1" fillId="35" borderId="15" xfId="0" applyFont="1" applyFill="1" applyBorder="1" applyAlignment="1" applyProtection="1">
      <alignment vertical="center"/>
      <protection hidden="1"/>
    </xf>
    <xf numFmtId="0" fontId="1" fillId="35" borderId="16" xfId="0" applyFont="1" applyFill="1" applyBorder="1" applyAlignment="1" applyProtection="1">
      <alignment vertical="center"/>
      <protection hidden="1"/>
    </xf>
    <xf numFmtId="0" fontId="1" fillId="35" borderId="17" xfId="0" applyFont="1" applyFill="1" applyBorder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horizontal="right" vertical="center"/>
      <protection hidden="1"/>
    </xf>
    <xf numFmtId="0" fontId="1" fillId="35" borderId="0" xfId="0" applyFont="1" applyFill="1" applyAlignment="1" applyProtection="1">
      <alignment vertical="center"/>
      <protection hidden="1"/>
    </xf>
    <xf numFmtId="0" fontId="12" fillId="35" borderId="0" xfId="0" applyFont="1" applyFill="1" applyAlignment="1" applyProtection="1">
      <alignment horizontal="justify"/>
      <protection hidden="1"/>
    </xf>
    <xf numFmtId="0" fontId="10" fillId="35" borderId="0" xfId="0" applyFont="1" applyFill="1" applyBorder="1" applyAlignment="1" applyProtection="1">
      <alignment horizontal="center" vertical="center"/>
      <protection hidden="1"/>
    </xf>
    <xf numFmtId="49" fontId="4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0" xfId="0" applyFont="1" applyFill="1" applyAlignment="1" applyProtection="1">
      <alignment vertical="center" wrapText="1"/>
      <protection hidden="1"/>
    </xf>
    <xf numFmtId="0" fontId="4" fillId="35" borderId="0" xfId="0" applyFont="1" applyFill="1" applyBorder="1" applyAlignment="1" applyProtection="1">
      <alignment horizontal="center" vertical="center" wrapText="1"/>
      <protection hidden="1"/>
    </xf>
    <xf numFmtId="49" fontId="4" fillId="35" borderId="0" xfId="0" applyNumberFormat="1" applyFont="1" applyFill="1" applyBorder="1" applyAlignment="1" applyProtection="1">
      <alignment horizontal="left" vertical="center" wrapText="1"/>
      <protection hidden="1"/>
    </xf>
    <xf numFmtId="49" fontId="4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0" xfId="0" applyFont="1" applyFill="1" applyAlignment="1" applyProtection="1">
      <alignment vertical="center" wrapText="1"/>
      <protection hidden="1"/>
    </xf>
    <xf numFmtId="0" fontId="4" fillId="35" borderId="0" xfId="0" applyFont="1" applyFill="1" applyBorder="1" applyAlignment="1" applyProtection="1">
      <alignment horizontal="center" vertical="center" wrapText="1"/>
      <protection hidden="1"/>
    </xf>
    <xf numFmtId="49" fontId="4" fillId="35" borderId="0" xfId="0" applyNumberFormat="1" applyFont="1" applyFill="1" applyBorder="1" applyAlignment="1" applyProtection="1">
      <alignment horizontal="left" vertical="center" wrapText="1"/>
      <protection hidden="1"/>
    </xf>
    <xf numFmtId="0" fontId="10" fillId="35" borderId="0" xfId="0" applyFont="1" applyFill="1" applyBorder="1" applyAlignment="1" applyProtection="1">
      <alignment vertical="center"/>
      <protection hidden="1"/>
    </xf>
    <xf numFmtId="0" fontId="1" fillId="35" borderId="11" xfId="0" applyFont="1" applyFill="1" applyBorder="1" applyAlignment="1" applyProtection="1">
      <alignment vertical="center"/>
      <protection hidden="1"/>
    </xf>
    <xf numFmtId="0" fontId="12" fillId="35" borderId="0" xfId="0" applyFont="1" applyFill="1" applyAlignment="1" applyProtection="1">
      <alignment/>
      <protection hidden="1"/>
    </xf>
    <xf numFmtId="0" fontId="13" fillId="35" borderId="0" xfId="0" applyFont="1" applyFill="1" applyBorder="1" applyAlignment="1" applyProtection="1">
      <alignment horizontal="right"/>
      <protection hidden="1"/>
    </xf>
    <xf numFmtId="0" fontId="1" fillId="32" borderId="0" xfId="0" applyFont="1" applyFill="1" applyAlignment="1" applyProtection="1">
      <alignment vertical="center"/>
      <protection/>
    </xf>
    <xf numFmtId="0" fontId="14" fillId="32" borderId="0" xfId="0" applyFont="1" applyFill="1" applyAlignment="1" applyProtection="1">
      <alignment vertical="center"/>
      <protection/>
    </xf>
    <xf numFmtId="3" fontId="15" fillId="34" borderId="0" xfId="0" applyNumberFormat="1" applyFont="1" applyFill="1" applyAlignment="1" applyProtection="1">
      <alignment/>
      <protection/>
    </xf>
    <xf numFmtId="0" fontId="14" fillId="32" borderId="0" xfId="0" applyFont="1" applyFill="1" applyAlignment="1" applyProtection="1">
      <alignment horizontal="left" vertical="center"/>
      <protection/>
    </xf>
    <xf numFmtId="0" fontId="18" fillId="34" borderId="0" xfId="0" applyNumberFormat="1" applyFont="1" applyFill="1" applyAlignment="1" applyProtection="1">
      <alignment/>
      <protection/>
    </xf>
    <xf numFmtId="0" fontId="15" fillId="34" borderId="0" xfId="0" applyNumberFormat="1" applyFont="1" applyFill="1" applyAlignment="1" applyProtection="1">
      <alignment/>
      <protection/>
    </xf>
    <xf numFmtId="0" fontId="21" fillId="35" borderId="0" xfId="0" applyFont="1" applyFill="1" applyBorder="1" applyAlignment="1" applyProtection="1">
      <alignment horizontal="right"/>
      <protection hidden="1"/>
    </xf>
    <xf numFmtId="0" fontId="12" fillId="35" borderId="0" xfId="0" applyFont="1" applyFill="1" applyBorder="1" applyAlignment="1" applyProtection="1">
      <alignment horizontal="justify"/>
      <protection hidden="1"/>
    </xf>
    <xf numFmtId="0" fontId="4" fillId="33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 hidden="1" locked="0"/>
    </xf>
    <xf numFmtId="3" fontId="14" fillId="32" borderId="0" xfId="0" applyNumberFormat="1" applyFont="1" applyFill="1" applyAlignment="1" applyProtection="1">
      <alignment vertical="center"/>
      <protection hidden="1"/>
    </xf>
    <xf numFmtId="3" fontId="15" fillId="34" borderId="0" xfId="0" applyNumberFormat="1" applyFont="1" applyFill="1" applyAlignment="1" applyProtection="1">
      <alignment/>
      <protection hidden="1"/>
    </xf>
    <xf numFmtId="3" fontId="15" fillId="34" borderId="0" xfId="0" applyNumberFormat="1" applyFont="1" applyFill="1" applyBorder="1" applyAlignment="1" applyProtection="1">
      <alignment/>
      <protection hidden="1"/>
    </xf>
    <xf numFmtId="3" fontId="16" fillId="34" borderId="0" xfId="0" applyNumberFormat="1" applyFont="1" applyFill="1" applyBorder="1" applyAlignment="1" applyProtection="1">
      <alignment horizontal="right"/>
      <protection hidden="1"/>
    </xf>
    <xf numFmtId="3" fontId="16" fillId="34" borderId="0" xfId="0" applyNumberFormat="1" applyFont="1" applyFill="1" applyAlignment="1" applyProtection="1">
      <alignment/>
      <protection hidden="1"/>
    </xf>
    <xf numFmtId="3" fontId="17" fillId="34" borderId="0" xfId="0" applyNumberFormat="1" applyFont="1" applyFill="1" applyAlignment="1" applyProtection="1">
      <alignment/>
      <protection hidden="1"/>
    </xf>
    <xf numFmtId="3" fontId="18" fillId="34" borderId="0" xfId="0" applyNumberFormat="1" applyFont="1" applyFill="1" applyAlignment="1" applyProtection="1">
      <alignment/>
      <protection hidden="1"/>
    </xf>
    <xf numFmtId="3" fontId="18" fillId="34" borderId="0" xfId="0" applyNumberFormat="1" applyFont="1" applyFill="1" applyAlignment="1" applyProtection="1">
      <alignment horizontal="right"/>
      <protection hidden="1"/>
    </xf>
    <xf numFmtId="3" fontId="15" fillId="34" borderId="0" xfId="0" applyNumberFormat="1" applyFont="1" applyFill="1" applyAlignment="1" applyProtection="1">
      <alignment horizontal="right"/>
      <protection hidden="1"/>
    </xf>
    <xf numFmtId="3" fontId="16" fillId="34" borderId="0" xfId="0" applyNumberFormat="1" applyFont="1" applyFill="1" applyAlignment="1" applyProtection="1">
      <alignment horizontal="center"/>
      <protection hidden="1"/>
    </xf>
    <xf numFmtId="3" fontId="15" fillId="34" borderId="0" xfId="0" applyNumberFormat="1" applyFont="1" applyFill="1" applyAlignment="1" applyProtection="1">
      <alignment horizontal="right"/>
      <protection hidden="1"/>
    </xf>
    <xf numFmtId="3" fontId="15" fillId="34" borderId="0" xfId="0" applyNumberFormat="1" applyFont="1" applyFill="1" applyAlignment="1" applyProtection="1">
      <alignment shrinkToFit="1"/>
      <protection hidden="1"/>
    </xf>
    <xf numFmtId="3" fontId="15" fillId="34" borderId="0" xfId="0" applyNumberFormat="1" applyFont="1" applyFill="1" applyAlignment="1" applyProtection="1">
      <alignment horizontal="left"/>
      <protection hidden="1"/>
    </xf>
    <xf numFmtId="3" fontId="15" fillId="34" borderId="0" xfId="0" applyNumberFormat="1" applyFont="1" applyFill="1" applyBorder="1" applyAlignment="1" applyProtection="1">
      <alignment/>
      <protection hidden="1"/>
    </xf>
    <xf numFmtId="3" fontId="15" fillId="34" borderId="0" xfId="0" applyNumberFormat="1" applyFont="1" applyFill="1" applyAlignment="1" applyProtection="1">
      <alignment/>
      <protection/>
    </xf>
    <xf numFmtId="3" fontId="15" fillId="34" borderId="0" xfId="0" applyNumberFormat="1" applyFont="1" applyFill="1" applyBorder="1" applyAlignment="1" applyProtection="1">
      <alignment/>
      <protection/>
    </xf>
    <xf numFmtId="3" fontId="16" fillId="34" borderId="0" xfId="0" applyNumberFormat="1" applyFont="1" applyFill="1" applyBorder="1" applyAlignment="1" applyProtection="1">
      <alignment horizontal="right"/>
      <protection/>
    </xf>
    <xf numFmtId="3" fontId="16" fillId="34" borderId="0" xfId="0" applyNumberFormat="1" applyFont="1" applyFill="1" applyAlignment="1" applyProtection="1">
      <alignment/>
      <protection/>
    </xf>
    <xf numFmtId="3" fontId="14" fillId="32" borderId="0" xfId="0" applyNumberFormat="1" applyFont="1" applyFill="1" applyAlignment="1" applyProtection="1">
      <alignment horizontal="left" vertical="center"/>
      <protection/>
    </xf>
    <xf numFmtId="3" fontId="17" fillId="34" borderId="0" xfId="0" applyNumberFormat="1" applyFont="1" applyFill="1" applyAlignment="1" applyProtection="1">
      <alignment/>
      <protection/>
    </xf>
    <xf numFmtId="3" fontId="18" fillId="34" borderId="0" xfId="0" applyNumberFormat="1" applyFont="1" applyFill="1" applyAlignment="1" applyProtection="1">
      <alignment/>
      <protection/>
    </xf>
    <xf numFmtId="3" fontId="18" fillId="34" borderId="0" xfId="0" applyNumberFormat="1" applyFont="1" applyFill="1" applyAlignment="1" applyProtection="1">
      <alignment horizontal="right"/>
      <protection/>
    </xf>
    <xf numFmtId="3" fontId="15" fillId="34" borderId="0" xfId="0" applyNumberFormat="1" applyFont="1" applyFill="1" applyAlignment="1" applyProtection="1">
      <alignment horizontal="right"/>
      <protection/>
    </xf>
    <xf numFmtId="3" fontId="16" fillId="34" borderId="0" xfId="0" applyNumberFormat="1" applyFont="1" applyFill="1" applyAlignment="1" applyProtection="1">
      <alignment horizontal="center"/>
      <protection/>
    </xf>
    <xf numFmtId="3" fontId="14" fillId="32" borderId="0" xfId="0" applyNumberFormat="1" applyFont="1" applyFill="1" applyAlignment="1" applyProtection="1">
      <alignment vertical="center"/>
      <protection/>
    </xf>
    <xf numFmtId="3" fontId="15" fillId="34" borderId="0" xfId="0" applyNumberFormat="1" applyFont="1" applyFill="1" applyAlignment="1" applyProtection="1">
      <alignment horizontal="right"/>
      <protection/>
    </xf>
    <xf numFmtId="3" fontId="15" fillId="34" borderId="0" xfId="0" applyNumberFormat="1" applyFont="1" applyFill="1" applyAlignment="1" applyProtection="1">
      <alignment shrinkToFit="1"/>
      <protection/>
    </xf>
    <xf numFmtId="3" fontId="15" fillId="34" borderId="0" xfId="0" applyNumberFormat="1" applyFont="1" applyFill="1" applyAlignment="1" applyProtection="1">
      <alignment horizontal="left"/>
      <protection/>
    </xf>
    <xf numFmtId="0" fontId="24" fillId="32" borderId="0" xfId="0" applyFont="1" applyFill="1" applyAlignment="1" applyProtection="1">
      <alignment vertical="center"/>
      <protection/>
    </xf>
    <xf numFmtId="0" fontId="24" fillId="32" borderId="0" xfId="0" applyFont="1" applyFill="1" applyAlignment="1" applyProtection="1">
      <alignment vertical="center"/>
      <protection hidden="1"/>
    </xf>
    <xf numFmtId="0" fontId="24" fillId="34" borderId="0" xfId="0" applyFont="1" applyFill="1" applyBorder="1" applyAlignment="1" applyProtection="1">
      <alignment/>
      <protection locked="0"/>
    </xf>
    <xf numFmtId="0" fontId="24" fillId="34" borderId="0" xfId="0" applyFont="1" applyFill="1" applyBorder="1" applyAlignment="1" applyProtection="1">
      <alignment/>
      <protection locked="0"/>
    </xf>
    <xf numFmtId="0" fontId="24" fillId="34" borderId="0" xfId="0" applyFont="1" applyFill="1" applyBorder="1" applyAlignment="1" applyProtection="1">
      <alignment vertical="top"/>
      <protection locked="0"/>
    </xf>
    <xf numFmtId="0" fontId="24" fillId="34" borderId="0" xfId="0" applyFont="1" applyFill="1" applyBorder="1" applyAlignment="1" applyProtection="1">
      <alignment vertical="top" wrapText="1"/>
      <protection locked="0"/>
    </xf>
    <xf numFmtId="0" fontId="24" fillId="32" borderId="0" xfId="0" applyFont="1" applyFill="1" applyAlignment="1" applyProtection="1">
      <alignment horizontal="left" vertical="center"/>
      <protection/>
    </xf>
    <xf numFmtId="0" fontId="22" fillId="35" borderId="0" xfId="0" applyFont="1" applyFill="1" applyBorder="1" applyAlignment="1" applyProtection="1">
      <alignment wrapText="1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vertical="center"/>
      <protection hidden="1"/>
    </xf>
    <xf numFmtId="4" fontId="1" fillId="35" borderId="0" xfId="0" applyNumberFormat="1" applyFont="1" applyFill="1" applyBorder="1" applyAlignment="1" applyProtection="1">
      <alignment vertical="center"/>
      <protection hidden="1"/>
    </xf>
    <xf numFmtId="0" fontId="6" fillId="0" borderId="0" xfId="53" applyNumberFormat="1" applyFont="1" applyFill="1" applyBorder="1" applyProtection="1">
      <alignment/>
      <protection hidden="1"/>
    </xf>
    <xf numFmtId="4" fontId="25" fillId="0" borderId="0" xfId="53" applyNumberFormat="1" applyFont="1" applyFill="1" applyBorder="1" applyAlignment="1" applyProtection="1">
      <alignment horizontal="right"/>
      <protection hidden="1"/>
    </xf>
    <xf numFmtId="1" fontId="6" fillId="0" borderId="0" xfId="53" applyNumberFormat="1" applyFont="1" applyFill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7" fillId="0" borderId="0" xfId="53" applyNumberFormat="1" applyFont="1" applyFill="1" applyBorder="1" applyProtection="1">
      <alignment/>
      <protection hidden="1"/>
    </xf>
    <xf numFmtId="0" fontId="6" fillId="0" borderId="0" xfId="53" applyNumberFormat="1" applyFont="1" applyFill="1" applyBorder="1" applyProtection="1">
      <alignment/>
      <protection hidden="1"/>
    </xf>
    <xf numFmtId="0" fontId="8" fillId="0" borderId="0" xfId="53" applyFont="1" applyFill="1" applyBorder="1" applyProtection="1">
      <alignment/>
      <protection hidden="1"/>
    </xf>
    <xf numFmtId="0" fontId="6" fillId="0" borderId="0" xfId="53" applyFont="1" applyFill="1" applyBorder="1" applyProtection="1">
      <alignment/>
      <protection hidden="1"/>
    </xf>
    <xf numFmtId="0" fontId="6" fillId="0" borderId="0" xfId="53" applyNumberFormat="1" applyFont="1" applyFill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right"/>
      <protection hidden="1"/>
    </xf>
    <xf numFmtId="0" fontId="6" fillId="0" borderId="0" xfId="53" applyNumberFormat="1" applyFont="1" applyFill="1" applyBorder="1" applyAlignment="1" applyProtection="1">
      <alignment horizontal="right"/>
      <protection hidden="1"/>
    </xf>
    <xf numFmtId="0" fontId="6" fillId="0" borderId="0" xfId="53" applyNumberFormat="1" applyFont="1" applyFill="1" applyBorder="1" applyAlignment="1" applyProtection="1">
      <alignment horizontal="center"/>
      <protection hidden="1"/>
    </xf>
    <xf numFmtId="185" fontId="6" fillId="0" borderId="0" xfId="53" applyNumberFormat="1" applyFont="1" applyFill="1" applyBorder="1" applyProtection="1">
      <alignment/>
      <protection hidden="1"/>
    </xf>
    <xf numFmtId="2" fontId="6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NumberFormat="1" applyFont="1" applyFill="1" applyBorder="1" applyAlignment="1" applyProtection="1">
      <alignment shrinkToFit="1"/>
      <protection hidden="1"/>
    </xf>
    <xf numFmtId="0" fontId="6" fillId="0" borderId="0" xfId="53" applyNumberFormat="1" applyFont="1" applyFill="1" applyBorder="1" applyAlignment="1" applyProtection="1">
      <alignment horizontal="left"/>
      <protection hidden="1"/>
    </xf>
    <xf numFmtId="4" fontId="6" fillId="0" borderId="0" xfId="53" applyNumberFormat="1" applyFont="1" applyFill="1" applyBorder="1" applyAlignment="1" applyProtection="1">
      <alignment horizontal="right"/>
      <protection hidden="1"/>
    </xf>
    <xf numFmtId="4" fontId="6" fillId="0" borderId="0" xfId="53" applyNumberFormat="1" applyFont="1" applyFill="1" applyBorder="1" applyAlignment="1" applyProtection="1">
      <alignment horizontal="left"/>
      <protection hidden="1"/>
    </xf>
    <xf numFmtId="0" fontId="9" fillId="0" borderId="0" xfId="53" applyNumberFormat="1" applyFont="1" applyFill="1" applyBorder="1" applyProtection="1">
      <alignment/>
      <protection hidden="1"/>
    </xf>
    <xf numFmtId="0" fontId="9" fillId="0" borderId="0" xfId="53" applyNumberFormat="1" applyFont="1" applyFill="1" applyBorder="1" applyAlignment="1" applyProtection="1">
      <alignment shrinkToFit="1"/>
      <protection hidden="1"/>
    </xf>
    <xf numFmtId="14" fontId="6" fillId="0" borderId="0" xfId="53" applyNumberFormat="1" applyFont="1" applyFill="1" applyBorder="1" applyProtection="1">
      <alignment/>
      <protection hidden="1"/>
    </xf>
    <xf numFmtId="3" fontId="6" fillId="0" borderId="0" xfId="53" applyNumberFormat="1" applyFont="1" applyFill="1" applyBorder="1" applyProtection="1">
      <alignment/>
      <protection hidden="1"/>
    </xf>
    <xf numFmtId="0" fontId="24" fillId="32" borderId="0" xfId="0" applyFont="1" applyFill="1" applyAlignment="1" applyProtection="1">
      <alignment vertical="center"/>
      <protection/>
    </xf>
    <xf numFmtId="0" fontId="24" fillId="32" borderId="0" xfId="0" applyFont="1" applyFill="1" applyAlignment="1" applyProtection="1">
      <alignment vertical="center"/>
      <protection hidden="1"/>
    </xf>
    <xf numFmtId="0" fontId="24" fillId="34" borderId="0" xfId="0" applyFont="1" applyFill="1" applyBorder="1" applyAlignment="1" applyProtection="1">
      <alignment/>
      <protection/>
    </xf>
    <xf numFmtId="0" fontId="24" fillId="34" borderId="0" xfId="0" applyFont="1" applyFill="1" applyBorder="1" applyAlignment="1" applyProtection="1">
      <alignment horizontal="left"/>
      <protection/>
    </xf>
    <xf numFmtId="2" fontId="24" fillId="34" borderId="0" xfId="0" applyNumberFormat="1" applyFont="1" applyFill="1" applyBorder="1" applyAlignment="1" applyProtection="1">
      <alignment/>
      <protection/>
    </xf>
    <xf numFmtId="3" fontId="24" fillId="34" borderId="0" xfId="0" applyNumberFormat="1" applyFont="1" applyFill="1" applyBorder="1" applyAlignment="1" applyProtection="1">
      <alignment horizontal="right"/>
      <protection/>
    </xf>
    <xf numFmtId="4" fontId="24" fillId="34" borderId="0" xfId="0" applyNumberFormat="1" applyFont="1" applyFill="1" applyBorder="1" applyAlignment="1" applyProtection="1">
      <alignment/>
      <protection/>
    </xf>
    <xf numFmtId="3" fontId="24" fillId="34" borderId="0" xfId="0" applyNumberFormat="1" applyFont="1" applyFill="1" applyBorder="1" applyAlignment="1" applyProtection="1">
      <alignment/>
      <protection/>
    </xf>
    <xf numFmtId="1" fontId="24" fillId="34" borderId="0" xfId="0" applyNumberFormat="1" applyFont="1" applyFill="1" applyBorder="1" applyAlignment="1" applyProtection="1">
      <alignment horizontal="right"/>
      <protection/>
    </xf>
    <xf numFmtId="0" fontId="24" fillId="34" borderId="0" xfId="0" applyFont="1" applyFill="1" applyBorder="1" applyAlignment="1" applyProtection="1">
      <alignment horizontal="right"/>
      <protection/>
    </xf>
    <xf numFmtId="0" fontId="24" fillId="34" borderId="0" xfId="54" applyFont="1" applyFill="1" applyBorder="1" applyAlignment="1" applyProtection="1">
      <alignment horizontal="right" vertical="top"/>
      <protection/>
    </xf>
    <xf numFmtId="0" fontId="24" fillId="34" borderId="0" xfId="54" applyFont="1" applyFill="1" applyBorder="1" applyAlignment="1" applyProtection="1">
      <alignment vertical="top"/>
      <protection/>
    </xf>
    <xf numFmtId="0" fontId="24" fillId="34" borderId="0" xfId="54" applyFont="1" applyFill="1" applyBorder="1" applyAlignment="1" applyProtection="1">
      <alignment horizontal="right" vertical="center"/>
      <protection/>
    </xf>
    <xf numFmtId="0" fontId="24" fillId="34" borderId="0" xfId="54" applyFont="1" applyFill="1" applyBorder="1" applyAlignment="1" applyProtection="1">
      <alignment vertical="center"/>
      <protection/>
    </xf>
    <xf numFmtId="0" fontId="26" fillId="34" borderId="0" xfId="0" applyFont="1" applyFill="1" applyAlignment="1" applyProtection="1">
      <alignment/>
      <protection/>
    </xf>
    <xf numFmtId="0" fontId="26" fillId="34" borderId="0" xfId="0" applyFont="1" applyFill="1" applyAlignment="1" applyProtection="1">
      <alignment/>
      <protection locked="0"/>
    </xf>
    <xf numFmtId="4" fontId="27" fillId="34" borderId="0" xfId="0" applyNumberFormat="1" applyFont="1" applyFill="1" applyAlignment="1" applyProtection="1">
      <alignment horizontal="left"/>
      <protection/>
    </xf>
    <xf numFmtId="0" fontId="27" fillId="34" borderId="0" xfId="0" applyNumberFormat="1" applyFont="1" applyFill="1" applyAlignment="1" applyProtection="1">
      <alignment horizontal="right"/>
      <protection/>
    </xf>
    <xf numFmtId="0" fontId="27" fillId="34" borderId="0" xfId="0" applyNumberFormat="1" applyFont="1" applyFill="1" applyAlignment="1" applyProtection="1">
      <alignment/>
      <protection/>
    </xf>
    <xf numFmtId="0" fontId="27" fillId="34" borderId="0" xfId="0" applyNumberFormat="1" applyFont="1" applyFill="1" applyAlignment="1" applyProtection="1">
      <alignment shrinkToFit="1"/>
      <protection/>
    </xf>
    <xf numFmtId="3" fontId="24" fillId="32" borderId="0" xfId="0" applyNumberFormat="1" applyFont="1" applyFill="1" applyAlignment="1" applyProtection="1">
      <alignment vertical="center"/>
      <protection hidden="1"/>
    </xf>
    <xf numFmtId="0" fontId="10" fillId="35" borderId="18" xfId="0" applyFont="1" applyFill="1" applyBorder="1" applyAlignment="1" applyProtection="1">
      <alignment horizontal="center" vertical="top"/>
      <protection hidden="1"/>
    </xf>
    <xf numFmtId="0" fontId="4" fillId="35" borderId="19" xfId="0" applyFont="1" applyFill="1" applyBorder="1" applyAlignment="1" applyProtection="1">
      <alignment horizontal="center" vertical="center"/>
      <protection hidden="1"/>
    </xf>
    <xf numFmtId="0" fontId="4" fillId="35" borderId="20" xfId="0" applyFont="1" applyFill="1" applyBorder="1" applyAlignment="1" applyProtection="1">
      <alignment horizontal="center" vertical="center"/>
      <protection hidden="1"/>
    </xf>
    <xf numFmtId="0" fontId="4" fillId="35" borderId="21" xfId="0" applyFont="1" applyFill="1" applyBorder="1" applyAlignment="1" applyProtection="1">
      <alignment horizontal="center" vertical="center"/>
      <protection hidden="1"/>
    </xf>
    <xf numFmtId="1" fontId="1" fillId="35" borderId="22" xfId="0" applyNumberFormat="1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Border="1" applyAlignment="1" applyProtection="1">
      <alignment horizontal="center" vertical="top"/>
      <protection hidden="1"/>
    </xf>
    <xf numFmtId="2" fontId="1" fillId="35" borderId="22" xfId="0" applyNumberFormat="1" applyFont="1" applyFill="1" applyBorder="1" applyAlignment="1" applyProtection="1">
      <alignment horizontal="center" vertical="center"/>
      <protection hidden="1"/>
    </xf>
    <xf numFmtId="0" fontId="10" fillId="34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wrapText="1"/>
      <protection hidden="1"/>
    </xf>
    <xf numFmtId="0" fontId="20" fillId="32" borderId="13" xfId="0" applyFont="1" applyFill="1" applyBorder="1" applyAlignment="1" applyProtection="1">
      <alignment horizontal="center" vertical="center"/>
      <protection hidden="1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49" fontId="4" fillId="35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0" xfId="0" applyFont="1" applyFill="1" applyBorder="1" applyAlignment="1" applyProtection="1">
      <alignment horizontal="center" vertical="center"/>
      <protection hidden="1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hidden="1" locked="0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12" fillId="35" borderId="0" xfId="0" applyFont="1" applyFill="1" applyAlignment="1" applyProtection="1">
      <alignment/>
      <protection hidden="1"/>
    </xf>
    <xf numFmtId="49" fontId="10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25" xfId="0" applyFont="1" applyFill="1" applyBorder="1" applyAlignment="1" applyProtection="1">
      <alignment horizontal="left" vertical="center" shrinkToFit="1"/>
      <protection hidden="1" locked="0"/>
    </xf>
    <xf numFmtId="0" fontId="10" fillId="35" borderId="26" xfId="0" applyFont="1" applyFill="1" applyBorder="1" applyAlignment="1" applyProtection="1">
      <alignment horizontal="left" vertical="center" shrinkToFit="1"/>
      <protection hidden="1" locked="0"/>
    </xf>
    <xf numFmtId="0" fontId="10" fillId="35" borderId="27" xfId="0" applyFont="1" applyFill="1" applyBorder="1" applyAlignment="1" applyProtection="1">
      <alignment horizontal="left" vertical="center" shrinkToFit="1"/>
      <protection hidden="1" locked="0"/>
    </xf>
    <xf numFmtId="0" fontId="19" fillId="35" borderId="23" xfId="0" applyFont="1" applyFill="1" applyBorder="1" applyAlignment="1" applyProtection="1">
      <alignment horizontal="left" vertical="center"/>
      <protection hidden="1"/>
    </xf>
    <xf numFmtId="0" fontId="10" fillId="35" borderId="25" xfId="0" applyFont="1" applyFill="1" applyBorder="1" applyAlignment="1" applyProtection="1">
      <alignment horizontal="center" vertical="center"/>
      <protection hidden="1" locked="0"/>
    </xf>
    <xf numFmtId="0" fontId="10" fillId="35" borderId="26" xfId="0" applyFont="1" applyFill="1" applyBorder="1" applyAlignment="1" applyProtection="1">
      <alignment horizontal="center" vertical="center"/>
      <protection hidden="1" locked="0"/>
    </xf>
    <xf numFmtId="0" fontId="10" fillId="35" borderId="27" xfId="0" applyFont="1" applyFill="1" applyBorder="1" applyAlignment="1" applyProtection="1">
      <alignment horizontal="center" vertical="center"/>
      <protection hidden="1" locked="0"/>
    </xf>
    <xf numFmtId="0" fontId="19" fillId="35" borderId="23" xfId="0" applyFont="1" applyFill="1" applyBorder="1" applyAlignment="1" applyProtection="1">
      <alignment horizontal="center" vertical="center"/>
      <protection hidden="1"/>
    </xf>
    <xf numFmtId="3" fontId="10" fillId="35" borderId="25" xfId="0" applyNumberFormat="1" applyFont="1" applyFill="1" applyBorder="1" applyAlignment="1" applyProtection="1">
      <alignment horizontal="center" vertical="center"/>
      <protection hidden="1" locked="0"/>
    </xf>
    <xf numFmtId="3" fontId="10" fillId="35" borderId="26" xfId="0" applyNumberFormat="1" applyFont="1" applyFill="1" applyBorder="1" applyAlignment="1" applyProtection="1">
      <alignment horizontal="center" vertical="center"/>
      <protection hidden="1" locked="0"/>
    </xf>
    <xf numFmtId="3" fontId="19" fillId="35" borderId="23" xfId="0" applyNumberFormat="1" applyFont="1" applyFill="1" applyBorder="1" applyAlignment="1" applyProtection="1">
      <alignment horizontal="center" vertical="center"/>
      <protection hidden="1"/>
    </xf>
    <xf numFmtId="4" fontId="10" fillId="35" borderId="26" xfId="0" applyNumberFormat="1" applyFont="1" applyFill="1" applyBorder="1" applyAlignment="1" applyProtection="1">
      <alignment horizontal="center" vertical="center"/>
      <protection hidden="1"/>
    </xf>
    <xf numFmtId="4" fontId="10" fillId="35" borderId="25" xfId="0" applyNumberFormat="1" applyFont="1" applyFill="1" applyBorder="1" applyAlignment="1" applyProtection="1">
      <alignment horizontal="center" vertical="center"/>
      <protection hidden="1" locked="0"/>
    </xf>
    <xf numFmtId="4" fontId="10" fillId="35" borderId="26" xfId="0" applyNumberFormat="1" applyFont="1" applyFill="1" applyBorder="1" applyAlignment="1" applyProtection="1">
      <alignment horizontal="center" vertical="center"/>
      <protection hidden="1" locked="0"/>
    </xf>
    <xf numFmtId="3" fontId="10" fillId="35" borderId="27" xfId="0" applyNumberFormat="1" applyFont="1" applyFill="1" applyBorder="1" applyAlignment="1" applyProtection="1">
      <alignment horizontal="center" vertical="center"/>
      <protection hidden="1" locked="0"/>
    </xf>
    <xf numFmtId="4" fontId="19" fillId="35" borderId="23" xfId="0" applyNumberFormat="1" applyFont="1" applyFill="1" applyBorder="1" applyAlignment="1" applyProtection="1">
      <alignment horizontal="center" vertical="center"/>
      <protection hidden="1"/>
    </xf>
    <xf numFmtId="4" fontId="10" fillId="35" borderId="27" xfId="0" applyNumberFormat="1" applyFont="1" applyFill="1" applyBorder="1" applyAlignment="1" applyProtection="1">
      <alignment horizontal="center" vertical="center"/>
      <protection hidden="1" locked="0"/>
    </xf>
    <xf numFmtId="9" fontId="10" fillId="35" borderId="26" xfId="0" applyNumberFormat="1" applyFont="1" applyFill="1" applyBorder="1" applyAlignment="1" applyProtection="1">
      <alignment horizontal="center" vertical="center"/>
      <protection hidden="1" locked="0"/>
    </xf>
    <xf numFmtId="9" fontId="10" fillId="35" borderId="25" xfId="0" applyNumberFormat="1" applyFont="1" applyFill="1" applyBorder="1" applyAlignment="1" applyProtection="1">
      <alignment horizontal="center" vertical="center"/>
      <protection hidden="1" locked="0"/>
    </xf>
    <xf numFmtId="4" fontId="10" fillId="35" borderId="28" xfId="0" applyNumberFormat="1" applyFont="1" applyFill="1" applyBorder="1" applyAlignment="1" applyProtection="1">
      <alignment horizontal="center" vertical="center"/>
      <protection hidden="1"/>
    </xf>
    <xf numFmtId="4" fontId="10" fillId="35" borderId="27" xfId="0" applyNumberFormat="1" applyFont="1" applyFill="1" applyBorder="1" applyAlignment="1" applyProtection="1">
      <alignment horizontal="center" vertical="center"/>
      <protection hidden="1"/>
    </xf>
    <xf numFmtId="9" fontId="10" fillId="35" borderId="27" xfId="0" applyNumberFormat="1" applyFont="1" applyFill="1" applyBorder="1" applyAlignment="1" applyProtection="1">
      <alignment horizontal="center" vertical="center"/>
      <protection hidden="1" locked="0"/>
    </xf>
    <xf numFmtId="4" fontId="10" fillId="35" borderId="26" xfId="0" applyNumberFormat="1" applyFont="1" applyFill="1" applyBorder="1" applyAlignment="1" applyProtection="1">
      <alignment horizontal="center" vertical="center" wrapText="1"/>
      <protection hidden="1"/>
    </xf>
    <xf numFmtId="4" fontId="10" fillId="35" borderId="25" xfId="0" applyNumberFormat="1" applyFont="1" applyFill="1" applyBorder="1" applyAlignment="1" applyProtection="1">
      <alignment horizontal="center" vertical="center" wrapText="1"/>
      <protection hidden="1"/>
    </xf>
    <xf numFmtId="4" fontId="10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22" xfId="0" applyFont="1" applyFill="1" applyBorder="1" applyAlignment="1" applyProtection="1">
      <alignment horizontal="left" vertical="center" wrapText="1" indent="2"/>
      <protection hidden="1" locked="0"/>
    </xf>
    <xf numFmtId="0" fontId="10" fillId="35" borderId="0" xfId="0" applyFont="1" applyFill="1" applyAlignment="1" applyProtection="1">
      <alignment horizontal="center" vertical="center" wrapText="1"/>
      <protection hidden="1"/>
    </xf>
    <xf numFmtId="14" fontId="1" fillId="35" borderId="22" xfId="0" applyNumberFormat="1" applyFont="1" applyFill="1" applyBorder="1" applyAlignment="1" applyProtection="1">
      <alignment horizontal="left" vertical="center" indent="2"/>
      <protection hidden="1" locked="0"/>
    </xf>
    <xf numFmtId="0" fontId="1" fillId="35" borderId="22" xfId="0" applyFont="1" applyFill="1" applyBorder="1" applyAlignment="1" applyProtection="1">
      <alignment horizontal="left" vertical="center" indent="2"/>
      <protection hidden="1" locked="0"/>
    </xf>
    <xf numFmtId="0" fontId="10" fillId="35" borderId="0" xfId="0" applyFont="1" applyFill="1" applyBorder="1" applyAlignment="1" applyProtection="1">
      <alignment horizontal="center" vertical="center"/>
      <protection hidden="1"/>
    </xf>
    <xf numFmtId="0" fontId="12" fillId="35" borderId="0" xfId="0" applyFont="1" applyFill="1" applyAlignment="1" applyProtection="1">
      <alignment horizontal="center"/>
      <protection hidden="1"/>
    </xf>
    <xf numFmtId="0" fontId="12" fillId="35" borderId="0" xfId="0" applyFont="1" applyFill="1" applyBorder="1" applyAlignment="1" applyProtection="1">
      <alignment horizontal="left"/>
      <protection hidden="1"/>
    </xf>
    <xf numFmtId="0" fontId="1" fillId="35" borderId="22" xfId="0" applyFont="1" applyFill="1" applyBorder="1" applyAlignment="1" applyProtection="1">
      <alignment horizontal="left" vertical="center" indent="1"/>
      <protection hidden="1" locked="0"/>
    </xf>
    <xf numFmtId="0" fontId="1" fillId="33" borderId="23" xfId="0" applyFont="1" applyFill="1" applyBorder="1" applyAlignment="1" applyProtection="1">
      <alignment horizontal="center" vertical="center"/>
      <protection hidden="1" locked="0"/>
    </xf>
    <xf numFmtId="0" fontId="12" fillId="35" borderId="0" xfId="0" applyFont="1" applyFill="1" applyAlignment="1" applyProtection="1">
      <alignment horizontal="left"/>
      <protection hidden="1"/>
    </xf>
    <xf numFmtId="0" fontId="4" fillId="35" borderId="22" xfId="0" applyFont="1" applyFill="1" applyBorder="1" applyAlignment="1" applyProtection="1">
      <alignment vertical="center"/>
      <protection hidden="1" locked="0"/>
    </xf>
    <xf numFmtId="0" fontId="10" fillId="35" borderId="18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 applyProtection="1">
      <alignment vertical="center"/>
      <protection hidden="1"/>
    </xf>
    <xf numFmtId="0" fontId="1" fillId="35" borderId="18" xfId="0" applyFont="1" applyFill="1" applyBorder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horizontal="left" vertical="center"/>
      <protection hidden="1"/>
    </xf>
    <xf numFmtId="0" fontId="1" fillId="35" borderId="22" xfId="0" applyFont="1" applyFill="1" applyBorder="1" applyAlignment="1" applyProtection="1">
      <alignment vertical="center"/>
      <protection hidden="1" locked="0"/>
    </xf>
    <xf numFmtId="4" fontId="1" fillId="35" borderId="22" xfId="0" applyNumberFormat="1" applyFont="1" applyFill="1" applyBorder="1" applyAlignment="1" applyProtection="1">
      <alignment horizontal="center" vertical="center"/>
      <protection hidden="1"/>
    </xf>
    <xf numFmtId="0" fontId="25" fillId="0" borderId="0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 2" xfId="53"/>
    <cellStyle name="Обычный_Бланк платежного поручения (сокращенного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EI2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36" width="2.375" style="1" customWidth="1"/>
    <col min="37" max="37" width="1.75390625" style="1" customWidth="1"/>
    <col min="38" max="44" width="2.75390625" style="1" customWidth="1"/>
    <col min="45" max="45" width="2.75390625" style="72" hidden="1" customWidth="1"/>
    <col min="46" max="49" width="2.75390625" style="73" hidden="1" customWidth="1"/>
    <col min="50" max="50" width="2.75390625" style="72" hidden="1" customWidth="1"/>
    <col min="51" max="51" width="0" style="1" hidden="1" customWidth="1"/>
    <col min="52" max="112" width="2.75390625" style="1" customWidth="1"/>
    <col min="113" max="113" width="15.75390625" style="44" hidden="1" customWidth="1"/>
    <col min="114" max="114" width="11.125" style="44" hidden="1" customWidth="1"/>
    <col min="115" max="115" width="17.375" style="44" hidden="1" customWidth="1"/>
    <col min="116" max="119" width="5.75390625" style="44" hidden="1" customWidth="1"/>
    <col min="120" max="120" width="2.75390625" style="44" hidden="1" customWidth="1"/>
    <col min="121" max="131" width="2.75390625" style="11" hidden="1" customWidth="1"/>
    <col min="132" max="139" width="0" style="11" hidden="1" customWidth="1"/>
    <col min="140" max="16384" width="2.75390625" style="1" customWidth="1"/>
  </cols>
  <sheetData>
    <row r="1" spans="2:38" ht="19.5" customHeight="1" thickBot="1">
      <c r="B1" s="136" t="s">
        <v>107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</row>
    <row r="2" spans="2:119" ht="12" customHeigh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5"/>
      <c r="DI2" s="45"/>
      <c r="DJ2" s="46"/>
      <c r="DK2" s="46"/>
      <c r="DL2" s="46"/>
      <c r="DM2" s="47"/>
      <c r="DN2" s="45"/>
      <c r="DO2" s="48"/>
    </row>
    <row r="3" spans="2:119" ht="12" customHeight="1">
      <c r="B3" s="15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3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80" t="s">
        <v>84</v>
      </c>
      <c r="AL3" s="6"/>
      <c r="DI3" s="49"/>
      <c r="DJ3" s="50"/>
      <c r="DK3" s="49"/>
      <c r="DL3" s="49"/>
      <c r="DM3" s="51"/>
      <c r="DN3" s="49"/>
      <c r="DO3" s="49"/>
    </row>
    <row r="4" spans="2:119" ht="12" customHeight="1">
      <c r="B4" s="1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0" t="s">
        <v>86</v>
      </c>
      <c r="AL4" s="6"/>
      <c r="DI4" s="49"/>
      <c r="DJ4" s="50"/>
      <c r="DK4" s="49"/>
      <c r="DL4" s="49"/>
      <c r="DM4" s="49"/>
      <c r="DN4" s="50"/>
      <c r="DO4" s="50"/>
    </row>
    <row r="5" spans="2:119" ht="12" customHeight="1">
      <c r="B5" s="15"/>
      <c r="C5" s="2"/>
      <c r="D5" s="2"/>
      <c r="E5" s="2"/>
      <c r="F5" s="2"/>
      <c r="G5" s="2"/>
      <c r="H5" s="2"/>
      <c r="I5" s="2"/>
      <c r="J5" s="2"/>
      <c r="K5" s="2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80" t="s">
        <v>87</v>
      </c>
      <c r="AL5" s="6"/>
      <c r="DI5" s="49"/>
      <c r="DJ5" s="50"/>
      <c r="DK5" s="49"/>
      <c r="DL5" s="49"/>
      <c r="DM5" s="49"/>
      <c r="DN5" s="50"/>
      <c r="DO5" s="50"/>
    </row>
    <row r="6" spans="2:119" ht="12" customHeight="1">
      <c r="B6" s="15"/>
      <c r="C6" s="2"/>
      <c r="D6" s="2"/>
      <c r="E6" s="2"/>
      <c r="F6" s="2"/>
      <c r="G6" s="2"/>
      <c r="H6" s="2"/>
      <c r="I6" s="2"/>
      <c r="J6" s="2"/>
      <c r="K6" s="2"/>
      <c r="L6" s="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2"/>
      <c r="AC6" s="2"/>
      <c r="AD6" s="2"/>
      <c r="AE6" s="2"/>
      <c r="AF6" s="2"/>
      <c r="AG6" s="2"/>
      <c r="AH6" s="2"/>
      <c r="AI6" s="2"/>
      <c r="AJ6" s="2"/>
      <c r="AK6" s="4" t="s">
        <v>88</v>
      </c>
      <c r="AL6" s="6"/>
      <c r="DI6" s="49"/>
      <c r="DJ6" s="50"/>
      <c r="DK6" s="49"/>
      <c r="DL6" s="49"/>
      <c r="DM6" s="49"/>
      <c r="DN6" s="50"/>
      <c r="DO6" s="50"/>
    </row>
    <row r="7" spans="2:119" ht="12" customHeight="1">
      <c r="B7" s="15"/>
      <c r="C7" s="2"/>
      <c r="D7" s="2"/>
      <c r="E7" s="2"/>
      <c r="F7" s="2"/>
      <c r="G7" s="2"/>
      <c r="H7" s="2"/>
      <c r="I7" s="2"/>
      <c r="J7" s="2"/>
      <c r="K7" s="2"/>
      <c r="L7" s="2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2"/>
      <c r="AC7" s="2"/>
      <c r="AD7" s="2"/>
      <c r="AE7" s="2"/>
      <c r="AF7" s="2"/>
      <c r="AG7" s="2"/>
      <c r="AH7" s="2"/>
      <c r="AI7" s="2"/>
      <c r="AJ7" s="2"/>
      <c r="AK7" s="4" t="s">
        <v>85</v>
      </c>
      <c r="AL7" s="6"/>
      <c r="AT7" s="74"/>
      <c r="AU7" s="74">
        <f>IF(AU8=1,0,2)</f>
        <v>0</v>
      </c>
      <c r="AV7" s="74"/>
      <c r="AW7" s="74"/>
      <c r="DI7" s="45"/>
      <c r="DJ7" s="45"/>
      <c r="DK7" s="45"/>
      <c r="DL7" s="52"/>
      <c r="DM7" s="45"/>
      <c r="DN7" s="45"/>
      <c r="DO7" s="45"/>
    </row>
    <row r="8" spans="2:119" ht="12" customHeight="1">
      <c r="B8" s="1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41"/>
      <c r="Z8" s="41"/>
      <c r="AA8" s="41"/>
      <c r="AB8" s="41"/>
      <c r="AC8" s="2"/>
      <c r="AD8" s="2"/>
      <c r="AE8" s="2"/>
      <c r="AF8" s="2"/>
      <c r="AG8" s="2"/>
      <c r="AH8" s="2"/>
      <c r="AI8" s="2"/>
      <c r="AJ8" s="2"/>
      <c r="AK8" s="2"/>
      <c r="AL8" s="6"/>
      <c r="AT8" s="74"/>
      <c r="AU8" s="74">
        <v>1</v>
      </c>
      <c r="AV8" s="74"/>
      <c r="AW8" s="75" t="str">
        <f>VLOOKUP(AU8,AV9:AW12,2)</f>
        <v>руб.</v>
      </c>
      <c r="DI8" s="12"/>
      <c r="DJ8" s="45"/>
      <c r="DK8" s="45"/>
      <c r="DL8" s="52"/>
      <c r="DM8" s="45"/>
      <c r="DN8" s="53"/>
      <c r="DO8" s="12"/>
    </row>
    <row r="9" spans="2:119" ht="12" customHeight="1">
      <c r="B9" s="1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41"/>
      <c r="AB9" s="41"/>
      <c r="AC9" s="2"/>
      <c r="AD9" s="2"/>
      <c r="AE9" s="2"/>
      <c r="AF9" s="2"/>
      <c r="AG9" s="2"/>
      <c r="AH9" s="2"/>
      <c r="AI9" s="2"/>
      <c r="AJ9" s="2"/>
      <c r="AK9" s="4" t="s">
        <v>89</v>
      </c>
      <c r="AL9" s="6"/>
      <c r="AT9" s="74">
        <v>1</v>
      </c>
      <c r="AU9" s="74" t="s">
        <v>79</v>
      </c>
      <c r="AV9" s="76">
        <v>1</v>
      </c>
      <c r="AW9" s="76" t="s">
        <v>80</v>
      </c>
      <c r="DI9" s="12"/>
      <c r="DJ9" s="45"/>
      <c r="DK9" s="45"/>
      <c r="DL9" s="52"/>
      <c r="DM9" s="45"/>
      <c r="DN9" s="53"/>
      <c r="DO9" s="12"/>
    </row>
    <row r="10" spans="2:119" ht="12" customHeight="1">
      <c r="B10" s="1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6"/>
      <c r="AT10" s="74">
        <v>2</v>
      </c>
      <c r="AU10" s="74" t="s">
        <v>81</v>
      </c>
      <c r="AV10" s="77">
        <v>2</v>
      </c>
      <c r="AW10" s="76" t="s">
        <v>80</v>
      </c>
      <c r="DI10" s="12"/>
      <c r="DJ10" s="12"/>
      <c r="DK10" s="12"/>
      <c r="DL10" s="54"/>
      <c r="DM10" s="55"/>
      <c r="DN10" s="53"/>
      <c r="DO10" s="12"/>
    </row>
    <row r="11" spans="2:119" ht="12" customHeight="1">
      <c r="B11" s="15"/>
      <c r="C11" s="2" t="s">
        <v>90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79" t="s">
        <v>48</v>
      </c>
      <c r="P11" s="179"/>
      <c r="Q11" s="179"/>
      <c r="R11" s="179"/>
      <c r="S11" s="179"/>
      <c r="T11" s="179"/>
      <c r="U11" s="179" t="s">
        <v>49</v>
      </c>
      <c r="V11" s="179"/>
      <c r="W11" s="179"/>
      <c r="X11" s="179"/>
      <c r="Y11" s="179"/>
      <c r="Z11" s="179"/>
      <c r="AA11" s="10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6"/>
      <c r="AT11" s="74">
        <v>3</v>
      </c>
      <c r="AU11" s="74" t="s">
        <v>82</v>
      </c>
      <c r="AV11" s="77">
        <v>3</v>
      </c>
      <c r="AW11" s="76" t="s">
        <v>82</v>
      </c>
      <c r="DI11" s="12"/>
      <c r="DJ11" s="12"/>
      <c r="DK11" s="12"/>
      <c r="DL11" s="54"/>
      <c r="DM11" s="55"/>
      <c r="DN11" s="12"/>
      <c r="DO11" s="12"/>
    </row>
    <row r="12" spans="2:119" ht="12" customHeight="1">
      <c r="B12" s="15"/>
      <c r="C12" s="2" t="s">
        <v>91</v>
      </c>
      <c r="D12" s="2"/>
      <c r="E12" s="2"/>
      <c r="F12" s="2"/>
      <c r="G12" s="2"/>
      <c r="H12" s="2"/>
      <c r="I12" s="2"/>
      <c r="J12" s="2"/>
      <c r="K12" s="2"/>
      <c r="L12" s="2"/>
      <c r="M12" s="142" t="s">
        <v>71</v>
      </c>
      <c r="N12" s="142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6"/>
      <c r="AT12" s="74">
        <v>4</v>
      </c>
      <c r="AU12" s="74" t="s">
        <v>83</v>
      </c>
      <c r="AV12" s="77">
        <v>4</v>
      </c>
      <c r="AW12" s="76" t="s">
        <v>83</v>
      </c>
      <c r="DI12" s="56"/>
      <c r="DJ12" s="12"/>
      <c r="DK12" s="12"/>
      <c r="DL12" s="54"/>
      <c r="DM12" s="55"/>
      <c r="DN12" s="12"/>
      <c r="DO12" s="12"/>
    </row>
    <row r="13" spans="2:119" ht="12" customHeight="1">
      <c r="B13" s="15"/>
      <c r="C13" s="2" t="s">
        <v>92</v>
      </c>
      <c r="D13" s="2"/>
      <c r="E13" s="143"/>
      <c r="F13" s="143"/>
      <c r="G13" s="143"/>
      <c r="H13" s="143"/>
      <c r="I13" s="143"/>
      <c r="J13" s="14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6"/>
      <c r="DI13" s="56"/>
      <c r="DJ13" s="12"/>
      <c r="DK13" s="12"/>
      <c r="DL13" s="12"/>
      <c r="DM13" s="54"/>
      <c r="DN13" s="12"/>
      <c r="DO13" s="12"/>
    </row>
    <row r="14" spans="2:119" ht="12" customHeight="1">
      <c r="B14" s="1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6"/>
      <c r="DI14" s="56"/>
      <c r="DJ14" s="54"/>
      <c r="DK14" s="12"/>
      <c r="DL14" s="12"/>
      <c r="DM14" s="12"/>
      <c r="DN14" s="12"/>
      <c r="DO14" s="12"/>
    </row>
    <row r="15" spans="2:119" ht="12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6"/>
      <c r="DI15" s="56"/>
      <c r="DJ15" s="54"/>
      <c r="DK15" s="12"/>
      <c r="DL15" s="12"/>
      <c r="DM15" s="12"/>
      <c r="DN15" s="12"/>
      <c r="DO15" s="12"/>
    </row>
    <row r="16" spans="2:119" ht="12.75" customHeight="1">
      <c r="B16" s="15"/>
      <c r="C16" s="140" t="s">
        <v>93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6"/>
      <c r="DI16" s="56"/>
      <c r="DJ16" s="54"/>
      <c r="DK16" s="12"/>
      <c r="DL16" s="12"/>
      <c r="DM16" s="55"/>
      <c r="DN16" s="12"/>
      <c r="DO16" s="12"/>
    </row>
    <row r="17" spans="2:119" ht="12.75" customHeigh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"/>
      <c r="N17" s="39" t="s">
        <v>47</v>
      </c>
      <c r="O17" s="137"/>
      <c r="P17" s="137"/>
      <c r="Q17" s="42" t="s">
        <v>47</v>
      </c>
      <c r="R17" s="138"/>
      <c r="S17" s="138"/>
      <c r="T17" s="138"/>
      <c r="U17" s="138"/>
      <c r="V17" s="42"/>
      <c r="W17" s="139"/>
      <c r="X17" s="139"/>
      <c r="Y17" s="32" t="s">
        <v>46</v>
      </c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7"/>
      <c r="AL17" s="6"/>
      <c r="DI17" s="56"/>
      <c r="DJ17" s="54"/>
      <c r="DK17" s="12"/>
      <c r="DL17" s="12"/>
      <c r="DM17" s="55"/>
      <c r="DN17" s="12"/>
      <c r="DO17" s="12"/>
    </row>
    <row r="18" spans="2:119" ht="12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40"/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7"/>
      <c r="AL18" s="6"/>
      <c r="DI18" s="56"/>
      <c r="DJ18" s="54"/>
      <c r="DK18" s="12"/>
      <c r="DL18" s="54"/>
      <c r="DM18" s="12"/>
      <c r="DN18" s="12"/>
      <c r="DO18" s="12"/>
    </row>
    <row r="19" spans="2:119" ht="12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16"/>
      <c r="AB19" s="16"/>
      <c r="AC19" s="16"/>
      <c r="AD19" s="16"/>
      <c r="AE19" s="17"/>
      <c r="AF19" s="17"/>
      <c r="AG19" s="17"/>
      <c r="AH19" s="17"/>
      <c r="AI19" s="17"/>
      <c r="AJ19" s="17"/>
      <c r="AK19" s="17"/>
      <c r="AL19" s="6"/>
      <c r="DI19" s="56"/>
      <c r="DJ19" s="54"/>
      <c r="DK19" s="12"/>
      <c r="DL19" s="12"/>
      <c r="DM19" s="12"/>
      <c r="DN19" s="12"/>
      <c r="DO19" s="12"/>
    </row>
    <row r="20" spans="2:119" ht="12" customHeight="1">
      <c r="B20" s="15"/>
      <c r="C20" s="185" t="s">
        <v>48</v>
      </c>
      <c r="D20" s="185"/>
      <c r="E20" s="185"/>
      <c r="F20" s="185"/>
      <c r="G20" s="185"/>
      <c r="H20" s="185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6"/>
      <c r="AL20" s="6"/>
      <c r="DI20" s="56"/>
      <c r="DJ20" s="54"/>
      <c r="DK20" s="12"/>
      <c r="DL20" s="12"/>
      <c r="DM20" s="55"/>
      <c r="DN20" s="12"/>
      <c r="DO20" s="45"/>
    </row>
    <row r="21" spans="2:119" ht="12" customHeight="1">
      <c r="B21" s="15"/>
      <c r="C21" s="16"/>
      <c r="D21" s="16"/>
      <c r="E21" s="16"/>
      <c r="F21" s="16"/>
      <c r="G21" s="16"/>
      <c r="H21" s="10"/>
      <c r="I21" s="182" t="s">
        <v>50</v>
      </c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6"/>
      <c r="AL21" s="6"/>
      <c r="DI21" s="56"/>
      <c r="DJ21" s="54"/>
      <c r="DK21" s="12"/>
      <c r="DL21" s="12"/>
      <c r="DM21" s="55"/>
      <c r="DN21" s="12"/>
      <c r="DO21" s="12"/>
    </row>
    <row r="22" spans="2:119" ht="12" customHeight="1">
      <c r="B22" s="15"/>
      <c r="C22" s="185" t="s">
        <v>49</v>
      </c>
      <c r="D22" s="185"/>
      <c r="E22" s="185"/>
      <c r="F22" s="185"/>
      <c r="G22" s="185"/>
      <c r="H22" s="185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6"/>
      <c r="AL22" s="6"/>
      <c r="DI22" s="56"/>
      <c r="DJ22" s="54"/>
      <c r="DK22" s="12"/>
      <c r="DL22" s="12"/>
      <c r="DM22" s="12"/>
      <c r="DN22" s="12"/>
      <c r="DO22" s="12"/>
    </row>
    <row r="23" spans="2:119" ht="12" customHeight="1">
      <c r="B23" s="15"/>
      <c r="C23" s="16"/>
      <c r="D23" s="16"/>
      <c r="E23" s="16"/>
      <c r="F23" s="16"/>
      <c r="G23" s="16"/>
      <c r="H23" s="10"/>
      <c r="I23" s="182" t="s">
        <v>50</v>
      </c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6"/>
      <c r="AL23" s="6"/>
      <c r="DI23" s="56"/>
      <c r="DJ23" s="54"/>
      <c r="DK23" s="12"/>
      <c r="DL23" s="12"/>
      <c r="DM23" s="12"/>
      <c r="DN23" s="12"/>
      <c r="DO23" s="12"/>
    </row>
    <row r="24" spans="2:119" ht="12" customHeight="1">
      <c r="B24" s="15"/>
      <c r="C24" s="185" t="s">
        <v>0</v>
      </c>
      <c r="D24" s="185"/>
      <c r="E24" s="185"/>
      <c r="F24" s="185"/>
      <c r="G24" s="185"/>
      <c r="H24" s="185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6"/>
      <c r="AL24" s="6"/>
      <c r="DI24" s="56"/>
      <c r="DJ24" s="54"/>
      <c r="DK24" s="12"/>
      <c r="DL24" s="12"/>
      <c r="DM24" s="55"/>
      <c r="DN24" s="12"/>
      <c r="DO24" s="12"/>
    </row>
    <row r="25" spans="2:119" ht="12" customHeight="1">
      <c r="B25" s="15"/>
      <c r="C25" s="16"/>
      <c r="D25" s="16"/>
      <c r="E25" s="16"/>
      <c r="F25" s="16"/>
      <c r="G25" s="16"/>
      <c r="H25" s="10"/>
      <c r="I25" s="182" t="s">
        <v>106</v>
      </c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6"/>
      <c r="AL25" s="6"/>
      <c r="DI25" s="56"/>
      <c r="DJ25" s="54"/>
      <c r="DK25" s="12"/>
      <c r="DL25" s="12"/>
      <c r="DM25" s="55"/>
      <c r="DN25" s="12"/>
      <c r="DO25" s="12"/>
    </row>
    <row r="26" spans="2:119" ht="12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1"/>
      <c r="N26" s="21"/>
      <c r="O26" s="22"/>
      <c r="P26" s="23"/>
      <c r="Q26" s="23"/>
      <c r="R26" s="23"/>
      <c r="S26" s="23"/>
      <c r="T26" s="22"/>
      <c r="U26" s="24"/>
      <c r="V26" s="24"/>
      <c r="W26" s="18"/>
      <c r="X26" s="18"/>
      <c r="Y26" s="18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6"/>
      <c r="DI26" s="56"/>
      <c r="DJ26" s="54"/>
      <c r="DK26" s="12"/>
      <c r="DL26" s="12"/>
      <c r="DM26" s="55"/>
      <c r="DN26" s="12"/>
      <c r="DO26" s="12"/>
    </row>
    <row r="27" spans="2:119" ht="12" customHeight="1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22"/>
      <c r="P27" s="23"/>
      <c r="Q27" s="23"/>
      <c r="R27" s="23"/>
      <c r="S27" s="23"/>
      <c r="T27" s="22"/>
      <c r="U27" s="24"/>
      <c r="V27" s="24"/>
      <c r="W27" s="18"/>
      <c r="X27" s="18"/>
      <c r="Y27" s="18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6"/>
      <c r="DI27" s="56"/>
      <c r="DJ27" s="54"/>
      <c r="DK27" s="12"/>
      <c r="DL27" s="12"/>
      <c r="DM27" s="12"/>
      <c r="DN27" s="12"/>
      <c r="DO27" s="12"/>
    </row>
    <row r="28" spans="2:119" ht="12" customHeight="1">
      <c r="B28" s="15"/>
      <c r="C28" s="128" t="s">
        <v>51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30"/>
      <c r="AL28" s="6"/>
      <c r="DI28" s="56"/>
      <c r="DJ28" s="12"/>
      <c r="DK28" s="12"/>
      <c r="DL28" s="12"/>
      <c r="DM28" s="55"/>
      <c r="DN28" s="12"/>
      <c r="DO28" s="54"/>
    </row>
    <row r="29" spans="2:119" ht="15" customHeight="1">
      <c r="B29" s="15"/>
      <c r="C29" s="135" t="s">
        <v>56</v>
      </c>
      <c r="D29" s="135"/>
      <c r="E29" s="135"/>
      <c r="F29" s="135"/>
      <c r="G29" s="135"/>
      <c r="H29" s="135"/>
      <c r="I29" s="145" t="s">
        <v>55</v>
      </c>
      <c r="J29" s="145"/>
      <c r="K29" s="145"/>
      <c r="L29" s="135" t="s">
        <v>54</v>
      </c>
      <c r="M29" s="135"/>
      <c r="N29" s="135"/>
      <c r="O29" s="135" t="s">
        <v>94</v>
      </c>
      <c r="P29" s="135"/>
      <c r="Q29" s="135"/>
      <c r="R29" s="135" t="s">
        <v>95</v>
      </c>
      <c r="S29" s="135"/>
      <c r="T29" s="135"/>
      <c r="U29" s="135"/>
      <c r="V29" s="135" t="s">
        <v>53</v>
      </c>
      <c r="W29" s="135"/>
      <c r="X29" s="135"/>
      <c r="Y29" s="135"/>
      <c r="Z29" s="135" t="s">
        <v>96</v>
      </c>
      <c r="AA29" s="135"/>
      <c r="AB29" s="135"/>
      <c r="AC29" s="135"/>
      <c r="AD29" s="135" t="s">
        <v>97</v>
      </c>
      <c r="AE29" s="135"/>
      <c r="AF29" s="135"/>
      <c r="AG29" s="135"/>
      <c r="AH29" s="135" t="s">
        <v>52</v>
      </c>
      <c r="AI29" s="135"/>
      <c r="AJ29" s="135"/>
      <c r="AK29" s="135"/>
      <c r="AL29" s="6"/>
      <c r="DI29" s="56"/>
      <c r="DJ29" s="54"/>
      <c r="DK29" s="12"/>
      <c r="DL29" s="12"/>
      <c r="DM29" s="55"/>
      <c r="DN29" s="12"/>
      <c r="DO29" s="54"/>
    </row>
    <row r="30" spans="2:119" ht="15" customHeight="1">
      <c r="B30" s="15"/>
      <c r="C30" s="135"/>
      <c r="D30" s="135"/>
      <c r="E30" s="135"/>
      <c r="F30" s="135"/>
      <c r="G30" s="135"/>
      <c r="H30" s="135"/>
      <c r="I30" s="145"/>
      <c r="J30" s="145"/>
      <c r="K30" s="14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6"/>
      <c r="DI30" s="56"/>
      <c r="DJ30" s="12"/>
      <c r="DK30" s="54"/>
      <c r="DL30" s="12"/>
      <c r="DM30" s="55"/>
      <c r="DN30" s="12"/>
      <c r="DO30" s="54"/>
    </row>
    <row r="31" spans="2:119" ht="9.75" customHeight="1">
      <c r="B31" s="15"/>
      <c r="C31" s="134">
        <v>1</v>
      </c>
      <c r="D31" s="134"/>
      <c r="E31" s="134"/>
      <c r="F31" s="134"/>
      <c r="G31" s="134"/>
      <c r="H31" s="134"/>
      <c r="I31" s="134">
        <v>2</v>
      </c>
      <c r="J31" s="134"/>
      <c r="K31" s="134"/>
      <c r="L31" s="134">
        <v>3</v>
      </c>
      <c r="M31" s="134"/>
      <c r="N31" s="134"/>
      <c r="O31" s="134">
        <v>4</v>
      </c>
      <c r="P31" s="134"/>
      <c r="Q31" s="134"/>
      <c r="R31" s="134">
        <v>5</v>
      </c>
      <c r="S31" s="134"/>
      <c r="T31" s="134"/>
      <c r="U31" s="134"/>
      <c r="V31" s="134">
        <v>6</v>
      </c>
      <c r="W31" s="134"/>
      <c r="X31" s="134"/>
      <c r="Y31" s="134"/>
      <c r="Z31" s="134">
        <v>7</v>
      </c>
      <c r="AA31" s="134"/>
      <c r="AB31" s="134"/>
      <c r="AC31" s="134"/>
      <c r="AD31" s="134">
        <v>8</v>
      </c>
      <c r="AE31" s="134"/>
      <c r="AF31" s="134"/>
      <c r="AG31" s="134"/>
      <c r="AH31" s="134">
        <v>9</v>
      </c>
      <c r="AI31" s="134"/>
      <c r="AJ31" s="134"/>
      <c r="AK31" s="134"/>
      <c r="AL31" s="6"/>
      <c r="DI31" s="54"/>
      <c r="DJ31" s="12"/>
      <c r="DK31" s="54"/>
      <c r="DL31" s="12"/>
      <c r="DM31" s="55"/>
      <c r="DN31" s="12"/>
      <c r="DO31" s="12"/>
    </row>
    <row r="32" spans="2:119" ht="12" customHeight="1">
      <c r="B32" s="15"/>
      <c r="C32" s="146"/>
      <c r="D32" s="146"/>
      <c r="E32" s="146"/>
      <c r="F32" s="146"/>
      <c r="G32" s="146"/>
      <c r="H32" s="146"/>
      <c r="I32" s="150"/>
      <c r="J32" s="150"/>
      <c r="K32" s="150"/>
      <c r="L32" s="154">
        <v>45</v>
      </c>
      <c r="M32" s="154"/>
      <c r="N32" s="154"/>
      <c r="O32" s="158">
        <v>12.38</v>
      </c>
      <c r="P32" s="158"/>
      <c r="Q32" s="158"/>
      <c r="R32" s="157">
        <f>L32*O32</f>
        <v>557.1</v>
      </c>
      <c r="S32" s="157"/>
      <c r="T32" s="157"/>
      <c r="U32" s="157"/>
      <c r="V32" s="164">
        <v>0.2</v>
      </c>
      <c r="W32" s="164"/>
      <c r="X32" s="164"/>
      <c r="Y32" s="164"/>
      <c r="Z32" s="165">
        <f>IF(V32="Без НДС",0,ROUND(R32*V32,2))</f>
        <v>111.42</v>
      </c>
      <c r="AA32" s="165"/>
      <c r="AB32" s="165"/>
      <c r="AC32" s="165"/>
      <c r="AD32" s="169">
        <f>ROUND(SUM(R32+Z32),0)</f>
        <v>669</v>
      </c>
      <c r="AE32" s="169"/>
      <c r="AF32" s="169"/>
      <c r="AG32" s="169"/>
      <c r="AH32" s="154"/>
      <c r="AI32" s="154"/>
      <c r="AJ32" s="154"/>
      <c r="AK32" s="154"/>
      <c r="AL32" s="6"/>
      <c r="DI32" s="12"/>
      <c r="DJ32" s="12"/>
      <c r="DK32" s="54"/>
      <c r="DL32" s="12"/>
      <c r="DM32" s="55"/>
      <c r="DN32" s="12"/>
      <c r="DO32" s="12"/>
    </row>
    <row r="33" spans="2:119" ht="12" customHeight="1">
      <c r="B33" s="15"/>
      <c r="C33" s="147"/>
      <c r="D33" s="147"/>
      <c r="E33" s="147"/>
      <c r="F33" s="147"/>
      <c r="G33" s="147"/>
      <c r="H33" s="147"/>
      <c r="I33" s="151"/>
      <c r="J33" s="151"/>
      <c r="K33" s="151"/>
      <c r="L33" s="155">
        <v>88</v>
      </c>
      <c r="M33" s="155"/>
      <c r="N33" s="155"/>
      <c r="O33" s="159">
        <v>457.89</v>
      </c>
      <c r="P33" s="159"/>
      <c r="Q33" s="159"/>
      <c r="R33" s="157">
        <f aca="true" t="shared" si="0" ref="R33:R41">L33*O33</f>
        <v>40294.32</v>
      </c>
      <c r="S33" s="157"/>
      <c r="T33" s="157"/>
      <c r="U33" s="157"/>
      <c r="V33" s="163">
        <v>0.2</v>
      </c>
      <c r="W33" s="163"/>
      <c r="X33" s="163"/>
      <c r="Y33" s="163"/>
      <c r="Z33" s="157">
        <f aca="true" t="shared" si="1" ref="Z33:Z41">IF(V33="Без НДС",0,ROUND(R33*V33,2))</f>
        <v>8058.86</v>
      </c>
      <c r="AA33" s="157"/>
      <c r="AB33" s="157"/>
      <c r="AC33" s="157"/>
      <c r="AD33" s="168">
        <f aca="true" t="shared" si="2" ref="AD33:AD41">SUM(R33+Z33)</f>
        <v>48353.18</v>
      </c>
      <c r="AE33" s="168"/>
      <c r="AF33" s="168"/>
      <c r="AG33" s="168"/>
      <c r="AH33" s="155"/>
      <c r="AI33" s="155"/>
      <c r="AJ33" s="155"/>
      <c r="AK33" s="155"/>
      <c r="AL33" s="6"/>
      <c r="DI33" s="12"/>
      <c r="DJ33" s="12"/>
      <c r="DK33" s="12"/>
      <c r="DL33" s="12"/>
      <c r="DM33" s="12"/>
      <c r="DN33" s="12"/>
      <c r="DO33" s="12"/>
    </row>
    <row r="34" spans="2:119" ht="12" customHeight="1">
      <c r="B34" s="15"/>
      <c r="C34" s="147"/>
      <c r="D34" s="147"/>
      <c r="E34" s="147"/>
      <c r="F34" s="147"/>
      <c r="G34" s="147"/>
      <c r="H34" s="147"/>
      <c r="I34" s="151"/>
      <c r="J34" s="151"/>
      <c r="K34" s="151"/>
      <c r="L34" s="155">
        <v>23</v>
      </c>
      <c r="M34" s="155"/>
      <c r="N34" s="155"/>
      <c r="O34" s="159">
        <v>1256.88</v>
      </c>
      <c r="P34" s="159"/>
      <c r="Q34" s="159"/>
      <c r="R34" s="157">
        <f t="shared" si="0"/>
        <v>28908.24</v>
      </c>
      <c r="S34" s="157"/>
      <c r="T34" s="157"/>
      <c r="U34" s="157"/>
      <c r="V34" s="163">
        <v>0.2</v>
      </c>
      <c r="W34" s="163"/>
      <c r="X34" s="163"/>
      <c r="Y34" s="163"/>
      <c r="Z34" s="157">
        <f t="shared" si="1"/>
        <v>5781.65</v>
      </c>
      <c r="AA34" s="157"/>
      <c r="AB34" s="157"/>
      <c r="AC34" s="157"/>
      <c r="AD34" s="168">
        <f t="shared" si="2"/>
        <v>34689.89</v>
      </c>
      <c r="AE34" s="168"/>
      <c r="AF34" s="168"/>
      <c r="AG34" s="168"/>
      <c r="AH34" s="155"/>
      <c r="AI34" s="155"/>
      <c r="AJ34" s="155"/>
      <c r="AK34" s="155"/>
      <c r="AL34" s="6"/>
      <c r="DI34" s="12"/>
      <c r="DJ34" s="12"/>
      <c r="DK34" s="12"/>
      <c r="DL34" s="12"/>
      <c r="DM34" s="12"/>
      <c r="DN34" s="12"/>
      <c r="DO34" s="12"/>
    </row>
    <row r="35" spans="2:119" ht="12" customHeight="1">
      <c r="B35" s="15"/>
      <c r="C35" s="147"/>
      <c r="D35" s="147"/>
      <c r="E35" s="147"/>
      <c r="F35" s="147"/>
      <c r="G35" s="147"/>
      <c r="H35" s="147"/>
      <c r="I35" s="151"/>
      <c r="J35" s="151"/>
      <c r="K35" s="151"/>
      <c r="L35" s="155"/>
      <c r="M35" s="155"/>
      <c r="N35" s="155"/>
      <c r="O35" s="159"/>
      <c r="P35" s="159"/>
      <c r="Q35" s="159"/>
      <c r="R35" s="157">
        <f t="shared" si="0"/>
        <v>0</v>
      </c>
      <c r="S35" s="157"/>
      <c r="T35" s="157"/>
      <c r="U35" s="157"/>
      <c r="V35" s="163"/>
      <c r="W35" s="163"/>
      <c r="X35" s="163"/>
      <c r="Y35" s="163"/>
      <c r="Z35" s="157">
        <f t="shared" si="1"/>
        <v>0</v>
      </c>
      <c r="AA35" s="157"/>
      <c r="AB35" s="157"/>
      <c r="AC35" s="157"/>
      <c r="AD35" s="168">
        <f t="shared" si="2"/>
        <v>0</v>
      </c>
      <c r="AE35" s="168"/>
      <c r="AF35" s="168"/>
      <c r="AG35" s="168"/>
      <c r="AH35" s="155"/>
      <c r="AI35" s="155"/>
      <c r="AJ35" s="155"/>
      <c r="AK35" s="155"/>
      <c r="AL35" s="6"/>
      <c r="AS35" s="78"/>
      <c r="AX35" s="78"/>
      <c r="DI35" s="12"/>
      <c r="DJ35" s="12"/>
      <c r="DK35" s="12"/>
      <c r="DL35" s="12"/>
      <c r="DM35" s="12"/>
      <c r="DN35" s="12"/>
      <c r="DO35" s="12"/>
    </row>
    <row r="36" spans="2:119" ht="12" customHeight="1">
      <c r="B36" s="15"/>
      <c r="C36" s="147"/>
      <c r="D36" s="147"/>
      <c r="E36" s="147"/>
      <c r="F36" s="147"/>
      <c r="G36" s="147"/>
      <c r="H36" s="147"/>
      <c r="I36" s="151"/>
      <c r="J36" s="151"/>
      <c r="K36" s="151"/>
      <c r="L36" s="155"/>
      <c r="M36" s="155"/>
      <c r="N36" s="155"/>
      <c r="O36" s="159"/>
      <c r="P36" s="159"/>
      <c r="Q36" s="159"/>
      <c r="R36" s="157">
        <f t="shared" si="0"/>
        <v>0</v>
      </c>
      <c r="S36" s="157"/>
      <c r="T36" s="157"/>
      <c r="U36" s="157"/>
      <c r="V36" s="163"/>
      <c r="W36" s="163"/>
      <c r="X36" s="163"/>
      <c r="Y36" s="163"/>
      <c r="Z36" s="157">
        <f t="shared" si="1"/>
        <v>0</v>
      </c>
      <c r="AA36" s="157"/>
      <c r="AB36" s="157"/>
      <c r="AC36" s="157"/>
      <c r="AD36" s="168">
        <f t="shared" si="2"/>
        <v>0</v>
      </c>
      <c r="AE36" s="168"/>
      <c r="AF36" s="168"/>
      <c r="AG36" s="168"/>
      <c r="AH36" s="155"/>
      <c r="AI36" s="155"/>
      <c r="AJ36" s="155"/>
      <c r="AK36" s="155"/>
      <c r="AL36" s="6"/>
      <c r="AS36" s="78"/>
      <c r="AX36" s="78"/>
      <c r="DI36" s="12"/>
      <c r="DJ36" s="12"/>
      <c r="DK36" s="12"/>
      <c r="DL36" s="12"/>
      <c r="DM36" s="12"/>
      <c r="DN36" s="12"/>
      <c r="DO36" s="12"/>
    </row>
    <row r="37" spans="2:119" ht="12" customHeight="1">
      <c r="B37" s="15"/>
      <c r="C37" s="147"/>
      <c r="D37" s="147"/>
      <c r="E37" s="147"/>
      <c r="F37" s="147"/>
      <c r="G37" s="147"/>
      <c r="H37" s="147"/>
      <c r="I37" s="151"/>
      <c r="J37" s="151"/>
      <c r="K37" s="151"/>
      <c r="L37" s="155"/>
      <c r="M37" s="155"/>
      <c r="N37" s="155"/>
      <c r="O37" s="159"/>
      <c r="P37" s="159"/>
      <c r="Q37" s="159"/>
      <c r="R37" s="157">
        <f t="shared" si="0"/>
        <v>0</v>
      </c>
      <c r="S37" s="157"/>
      <c r="T37" s="157"/>
      <c r="U37" s="157"/>
      <c r="V37" s="163"/>
      <c r="W37" s="163"/>
      <c r="X37" s="163"/>
      <c r="Y37" s="163"/>
      <c r="Z37" s="157">
        <f t="shared" si="1"/>
        <v>0</v>
      </c>
      <c r="AA37" s="157"/>
      <c r="AB37" s="157"/>
      <c r="AC37" s="157"/>
      <c r="AD37" s="168">
        <f t="shared" si="2"/>
        <v>0</v>
      </c>
      <c r="AE37" s="168"/>
      <c r="AF37" s="168"/>
      <c r="AG37" s="168"/>
      <c r="AH37" s="155"/>
      <c r="AI37" s="155"/>
      <c r="AJ37" s="155"/>
      <c r="AK37" s="155"/>
      <c r="AL37" s="6"/>
      <c r="AS37" s="78"/>
      <c r="AX37" s="78"/>
      <c r="DI37" s="12"/>
      <c r="DJ37" s="12"/>
      <c r="DK37" s="12"/>
      <c r="DL37" s="12"/>
      <c r="DM37" s="12"/>
      <c r="DN37" s="12"/>
      <c r="DO37" s="12"/>
    </row>
    <row r="38" spans="2:119" ht="12" customHeight="1">
      <c r="B38" s="15"/>
      <c r="C38" s="147"/>
      <c r="D38" s="147"/>
      <c r="E38" s="147"/>
      <c r="F38" s="147"/>
      <c r="G38" s="147"/>
      <c r="H38" s="147"/>
      <c r="I38" s="151"/>
      <c r="J38" s="151"/>
      <c r="K38" s="151"/>
      <c r="L38" s="155"/>
      <c r="M38" s="155"/>
      <c r="N38" s="155"/>
      <c r="O38" s="159"/>
      <c r="P38" s="159"/>
      <c r="Q38" s="159"/>
      <c r="R38" s="157">
        <f t="shared" si="0"/>
        <v>0</v>
      </c>
      <c r="S38" s="157"/>
      <c r="T38" s="157"/>
      <c r="U38" s="157"/>
      <c r="V38" s="163"/>
      <c r="W38" s="163"/>
      <c r="X38" s="163"/>
      <c r="Y38" s="163"/>
      <c r="Z38" s="157">
        <f t="shared" si="1"/>
        <v>0</v>
      </c>
      <c r="AA38" s="157"/>
      <c r="AB38" s="157"/>
      <c r="AC38" s="157"/>
      <c r="AD38" s="168">
        <f t="shared" si="2"/>
        <v>0</v>
      </c>
      <c r="AE38" s="168"/>
      <c r="AF38" s="168"/>
      <c r="AG38" s="168"/>
      <c r="AH38" s="155"/>
      <c r="AI38" s="155"/>
      <c r="AJ38" s="155"/>
      <c r="AK38" s="155"/>
      <c r="AL38" s="6"/>
      <c r="AS38" s="78"/>
      <c r="AX38" s="78"/>
      <c r="DI38" s="12"/>
      <c r="DJ38" s="12"/>
      <c r="DK38" s="12"/>
      <c r="DL38" s="12"/>
      <c r="DM38" s="12"/>
      <c r="DN38" s="12"/>
      <c r="DO38" s="12"/>
    </row>
    <row r="39" spans="2:119" ht="12" customHeight="1">
      <c r="B39" s="15"/>
      <c r="C39" s="147"/>
      <c r="D39" s="147"/>
      <c r="E39" s="147"/>
      <c r="F39" s="147"/>
      <c r="G39" s="147"/>
      <c r="H39" s="147"/>
      <c r="I39" s="151"/>
      <c r="J39" s="151"/>
      <c r="K39" s="151"/>
      <c r="L39" s="155"/>
      <c r="M39" s="155"/>
      <c r="N39" s="155"/>
      <c r="O39" s="159"/>
      <c r="P39" s="159"/>
      <c r="Q39" s="159"/>
      <c r="R39" s="157">
        <f t="shared" si="0"/>
        <v>0</v>
      </c>
      <c r="S39" s="157"/>
      <c r="T39" s="157"/>
      <c r="U39" s="157"/>
      <c r="V39" s="163"/>
      <c r="W39" s="163"/>
      <c r="X39" s="163"/>
      <c r="Y39" s="163"/>
      <c r="Z39" s="157">
        <f t="shared" si="1"/>
        <v>0</v>
      </c>
      <c r="AA39" s="157"/>
      <c r="AB39" s="157"/>
      <c r="AC39" s="157"/>
      <c r="AD39" s="168">
        <f t="shared" si="2"/>
        <v>0</v>
      </c>
      <c r="AE39" s="168"/>
      <c r="AF39" s="168"/>
      <c r="AG39" s="168"/>
      <c r="AH39" s="155"/>
      <c r="AI39" s="155"/>
      <c r="AJ39" s="155"/>
      <c r="AK39" s="155"/>
      <c r="AL39" s="6"/>
      <c r="AS39" s="78"/>
      <c r="AX39" s="78"/>
      <c r="DI39" s="12"/>
      <c r="DJ39" s="12"/>
      <c r="DK39" s="12"/>
      <c r="DL39" s="12"/>
      <c r="DM39" s="12"/>
      <c r="DN39" s="12"/>
      <c r="DO39" s="12"/>
    </row>
    <row r="40" spans="2:119" ht="12" customHeight="1">
      <c r="B40" s="15"/>
      <c r="C40" s="147"/>
      <c r="D40" s="147"/>
      <c r="E40" s="147"/>
      <c r="F40" s="147"/>
      <c r="G40" s="147"/>
      <c r="H40" s="147"/>
      <c r="I40" s="151"/>
      <c r="J40" s="151"/>
      <c r="K40" s="151"/>
      <c r="L40" s="155"/>
      <c r="M40" s="155"/>
      <c r="N40" s="155"/>
      <c r="O40" s="159"/>
      <c r="P40" s="159"/>
      <c r="Q40" s="159"/>
      <c r="R40" s="157">
        <f t="shared" si="0"/>
        <v>0</v>
      </c>
      <c r="S40" s="157"/>
      <c r="T40" s="157"/>
      <c r="U40" s="157"/>
      <c r="V40" s="163"/>
      <c r="W40" s="163"/>
      <c r="X40" s="163"/>
      <c r="Y40" s="163"/>
      <c r="Z40" s="157">
        <f t="shared" si="1"/>
        <v>0</v>
      </c>
      <c r="AA40" s="157"/>
      <c r="AB40" s="157"/>
      <c r="AC40" s="157"/>
      <c r="AD40" s="168">
        <f t="shared" si="2"/>
        <v>0</v>
      </c>
      <c r="AE40" s="168"/>
      <c r="AF40" s="168"/>
      <c r="AG40" s="168"/>
      <c r="AH40" s="155"/>
      <c r="AI40" s="155"/>
      <c r="AJ40" s="155"/>
      <c r="AK40" s="155"/>
      <c r="AL40" s="6"/>
      <c r="AS40" s="78"/>
      <c r="AX40" s="78"/>
      <c r="DI40" s="12"/>
      <c r="DJ40" s="12"/>
      <c r="DK40" s="12"/>
      <c r="DL40" s="12"/>
      <c r="DM40" s="12"/>
      <c r="DN40" s="12"/>
      <c r="DO40" s="12"/>
    </row>
    <row r="41" spans="2:119" ht="12" customHeight="1">
      <c r="B41" s="15"/>
      <c r="C41" s="148"/>
      <c r="D41" s="148"/>
      <c r="E41" s="148"/>
      <c r="F41" s="148"/>
      <c r="G41" s="148"/>
      <c r="H41" s="148"/>
      <c r="I41" s="152"/>
      <c r="J41" s="152"/>
      <c r="K41" s="152"/>
      <c r="L41" s="160"/>
      <c r="M41" s="160"/>
      <c r="N41" s="160"/>
      <c r="O41" s="162"/>
      <c r="P41" s="162"/>
      <c r="Q41" s="162"/>
      <c r="R41" s="157">
        <f t="shared" si="0"/>
        <v>0</v>
      </c>
      <c r="S41" s="157"/>
      <c r="T41" s="157"/>
      <c r="U41" s="157"/>
      <c r="V41" s="167"/>
      <c r="W41" s="167"/>
      <c r="X41" s="167"/>
      <c r="Y41" s="167"/>
      <c r="Z41" s="166">
        <f t="shared" si="1"/>
        <v>0</v>
      </c>
      <c r="AA41" s="166"/>
      <c r="AB41" s="166"/>
      <c r="AC41" s="166"/>
      <c r="AD41" s="170">
        <f t="shared" si="2"/>
        <v>0</v>
      </c>
      <c r="AE41" s="170"/>
      <c r="AF41" s="170"/>
      <c r="AG41" s="170"/>
      <c r="AH41" s="160"/>
      <c r="AI41" s="160"/>
      <c r="AJ41" s="160"/>
      <c r="AK41" s="160"/>
      <c r="AL41" s="6"/>
      <c r="AS41" s="78"/>
      <c r="AX41" s="78"/>
      <c r="DI41" s="57"/>
      <c r="DJ41" s="12"/>
      <c r="DK41" s="12"/>
      <c r="DL41" s="12"/>
      <c r="DM41" s="12"/>
      <c r="DN41" s="12"/>
      <c r="DO41" s="12"/>
    </row>
    <row r="42" spans="2:119" ht="12" customHeight="1">
      <c r="B42" s="15"/>
      <c r="C42" s="149" t="s">
        <v>1</v>
      </c>
      <c r="D42" s="149"/>
      <c r="E42" s="149"/>
      <c r="F42" s="149"/>
      <c r="G42" s="149"/>
      <c r="H42" s="149"/>
      <c r="I42" s="153" t="s">
        <v>57</v>
      </c>
      <c r="J42" s="153"/>
      <c r="K42" s="153"/>
      <c r="L42" s="156">
        <f>SUM(L32:N41)</f>
        <v>156</v>
      </c>
      <c r="M42" s="156"/>
      <c r="N42" s="156"/>
      <c r="O42" s="161" t="s">
        <v>57</v>
      </c>
      <c r="P42" s="161"/>
      <c r="Q42" s="161"/>
      <c r="R42" s="161">
        <f>SUM(R32:U41)</f>
        <v>69759.66</v>
      </c>
      <c r="S42" s="161"/>
      <c r="T42" s="161"/>
      <c r="U42" s="161"/>
      <c r="V42" s="156" t="s">
        <v>57</v>
      </c>
      <c r="W42" s="156"/>
      <c r="X42" s="156"/>
      <c r="Y42" s="156"/>
      <c r="Z42" s="161">
        <f>ROUND(SUM(Z32:AC41),3)</f>
        <v>13951.93</v>
      </c>
      <c r="AA42" s="161"/>
      <c r="AB42" s="161"/>
      <c r="AC42" s="161"/>
      <c r="AD42" s="161">
        <f>SUM(AD32:AG41)</f>
        <v>83712.07</v>
      </c>
      <c r="AE42" s="161"/>
      <c r="AF42" s="161"/>
      <c r="AG42" s="161"/>
      <c r="AH42" s="156">
        <f>SUM(AH32:AK41)</f>
        <v>0</v>
      </c>
      <c r="AI42" s="156"/>
      <c r="AJ42" s="156"/>
      <c r="AK42" s="156"/>
      <c r="AL42" s="6"/>
      <c r="AS42" s="78"/>
      <c r="AX42" s="78"/>
      <c r="DI42" s="12"/>
      <c r="DJ42" s="12"/>
      <c r="DK42" s="12"/>
      <c r="DL42" s="12"/>
      <c r="DM42" s="12"/>
      <c r="DN42" s="12"/>
      <c r="DO42" s="12"/>
    </row>
    <row r="43" spans="2:119" ht="12" customHeight="1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1"/>
      <c r="N43" s="21"/>
      <c r="O43" s="22"/>
      <c r="P43" s="23"/>
      <c r="Q43" s="23"/>
      <c r="R43" s="23"/>
      <c r="S43" s="23"/>
      <c r="T43" s="22"/>
      <c r="U43" s="24"/>
      <c r="V43" s="24"/>
      <c r="W43" s="18"/>
      <c r="X43" s="18"/>
      <c r="Y43" s="18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6"/>
      <c r="AS43" s="78"/>
      <c r="AX43" s="78"/>
      <c r="DI43" s="12"/>
      <c r="DJ43" s="12"/>
      <c r="DK43" s="12"/>
      <c r="DL43" s="12"/>
      <c r="DM43" s="12"/>
      <c r="DN43" s="12"/>
      <c r="DO43" s="12"/>
    </row>
    <row r="44" spans="2:119" ht="12" customHeight="1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5"/>
      <c r="N44" s="25"/>
      <c r="O44" s="26"/>
      <c r="P44" s="27"/>
      <c r="Q44" s="27"/>
      <c r="R44" s="27"/>
      <c r="S44" s="27"/>
      <c r="T44" s="26"/>
      <c r="U44" s="28"/>
      <c r="V44" s="28"/>
      <c r="W44" s="18"/>
      <c r="X44" s="18"/>
      <c r="Y44" s="18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6"/>
      <c r="AS44" s="78"/>
      <c r="AX44" s="78"/>
      <c r="DI44" s="45"/>
      <c r="DJ44" s="46"/>
      <c r="DK44" s="46"/>
      <c r="DL44" s="46"/>
      <c r="DM44" s="47"/>
      <c r="DN44" s="45"/>
      <c r="DO44" s="48"/>
    </row>
    <row r="45" spans="2:119" ht="12" customHeight="1">
      <c r="B45" s="15"/>
      <c r="C45" s="180" t="s">
        <v>58</v>
      </c>
      <c r="D45" s="180"/>
      <c r="E45" s="180"/>
      <c r="F45" s="180"/>
      <c r="G45" s="180"/>
      <c r="H45" s="133" t="str">
        <f>Лист1!B2</f>
        <v>Тринадцать тысяч девятьсот пятьдесят один  </v>
      </c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81" t="s">
        <v>80</v>
      </c>
      <c r="AF45" s="81"/>
      <c r="AG45" s="131">
        <f>IF(AS142="","00",IF(AS142&lt;10,AT142&amp;AS142,AS142))</f>
        <v>93</v>
      </c>
      <c r="AH45" s="131"/>
      <c r="AI45" s="81" t="s">
        <v>70</v>
      </c>
      <c r="AJ45" s="81"/>
      <c r="AK45" s="16"/>
      <c r="AL45" s="6"/>
      <c r="AS45" s="78"/>
      <c r="AX45" s="78"/>
      <c r="DI45" s="49"/>
      <c r="DJ45" s="50"/>
      <c r="DK45" s="49"/>
      <c r="DL45" s="49"/>
      <c r="DM45" s="51"/>
      <c r="DN45" s="49"/>
      <c r="DO45" s="49"/>
    </row>
    <row r="46" spans="2:119" ht="12" customHeight="1">
      <c r="B46" s="15"/>
      <c r="C46" s="16"/>
      <c r="D46" s="16"/>
      <c r="E46" s="16"/>
      <c r="F46" s="16"/>
      <c r="G46" s="10"/>
      <c r="H46" s="127" t="s">
        <v>2</v>
      </c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29"/>
      <c r="AF46" s="132" t="s">
        <v>98</v>
      </c>
      <c r="AG46" s="132"/>
      <c r="AH46" s="132"/>
      <c r="AI46" s="132"/>
      <c r="AJ46" s="29"/>
      <c r="AK46" s="29"/>
      <c r="AL46" s="6"/>
      <c r="AS46" s="78"/>
      <c r="AX46" s="78"/>
      <c r="DI46" s="49"/>
      <c r="DJ46" s="50"/>
      <c r="DK46" s="49"/>
      <c r="DL46" s="49"/>
      <c r="DM46" s="49"/>
      <c r="DN46" s="49"/>
      <c r="DO46" s="49"/>
    </row>
    <row r="47" spans="2:119" ht="12" customHeight="1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5"/>
      <c r="N47" s="25"/>
      <c r="O47" s="26"/>
      <c r="P47" s="27"/>
      <c r="Q47" s="27"/>
      <c r="R47" s="27"/>
      <c r="S47" s="27"/>
      <c r="T47" s="26"/>
      <c r="U47" s="28"/>
      <c r="V47" s="28"/>
      <c r="W47" s="18"/>
      <c r="X47" s="18"/>
      <c r="Y47" s="18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6"/>
      <c r="DI47" s="49"/>
      <c r="DJ47" s="50"/>
      <c r="DK47" s="49"/>
      <c r="DL47" s="49"/>
      <c r="DM47" s="49"/>
      <c r="DN47" s="49"/>
      <c r="DO47" s="49"/>
    </row>
    <row r="48" spans="2:119" ht="12" customHeight="1">
      <c r="B48" s="15"/>
      <c r="C48" s="180" t="s">
        <v>59</v>
      </c>
      <c r="D48" s="180"/>
      <c r="E48" s="180"/>
      <c r="F48" s="180"/>
      <c r="G48" s="180"/>
      <c r="H48" s="180"/>
      <c r="I48" s="180"/>
      <c r="J48" s="187" t="str">
        <f>Лист1!L2</f>
        <v>Восемьдесят три тысячи семьсот двенадцать  </v>
      </c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81" t="s">
        <v>80</v>
      </c>
      <c r="AF48" s="81"/>
      <c r="AG48" s="131" t="str">
        <f>IF(AS189="","00",IF(AS189&lt;10,AT189&amp;AS189,AS189))</f>
        <v>07</v>
      </c>
      <c r="AH48" s="131"/>
      <c r="AI48" s="81" t="s">
        <v>70</v>
      </c>
      <c r="AJ48" s="82"/>
      <c r="AK48" s="16"/>
      <c r="AL48" s="30"/>
      <c r="DI48" s="49"/>
      <c r="DJ48" s="50"/>
      <c r="DK48" s="49"/>
      <c r="DL48" s="49"/>
      <c r="DM48" s="49"/>
      <c r="DN48" s="50"/>
      <c r="DO48" s="50"/>
    </row>
    <row r="49" spans="2:119" ht="12" customHeight="1">
      <c r="B49" s="15"/>
      <c r="C49" s="31"/>
      <c r="D49" s="16"/>
      <c r="E49" s="16"/>
      <c r="F49" s="16"/>
      <c r="G49" s="16"/>
      <c r="H49" s="16"/>
      <c r="I49" s="10"/>
      <c r="J49" s="127" t="s">
        <v>2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29"/>
      <c r="AF49" s="132" t="s">
        <v>98</v>
      </c>
      <c r="AG49" s="132"/>
      <c r="AH49" s="132"/>
      <c r="AI49" s="132"/>
      <c r="AJ49" s="29"/>
      <c r="AK49" s="29"/>
      <c r="AL49" s="6"/>
      <c r="DI49" s="45"/>
      <c r="DJ49" s="45"/>
      <c r="DK49" s="45"/>
      <c r="DL49" s="52"/>
      <c r="DM49" s="45"/>
      <c r="DN49" s="45"/>
      <c r="DO49" s="45"/>
    </row>
    <row r="50" spans="2:119" ht="12" customHeight="1">
      <c r="B50" s="15"/>
      <c r="C50" s="31"/>
      <c r="D50" s="16"/>
      <c r="E50" s="16"/>
      <c r="F50" s="16"/>
      <c r="G50" s="16"/>
      <c r="H50" s="16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6"/>
      <c r="DI50" s="12"/>
      <c r="DJ50" s="45"/>
      <c r="DK50" s="45"/>
      <c r="DL50" s="52"/>
      <c r="DM50" s="45"/>
      <c r="DN50" s="53"/>
      <c r="DO50" s="12"/>
    </row>
    <row r="51" spans="2:119" ht="12" customHeight="1">
      <c r="B51" s="15"/>
      <c r="C51" s="176" t="s">
        <v>60</v>
      </c>
      <c r="D51" s="176"/>
      <c r="E51" s="176"/>
      <c r="F51" s="176"/>
      <c r="G51" s="176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6"/>
      <c r="AL51" s="6"/>
      <c r="DI51" s="12"/>
      <c r="DJ51" s="45"/>
      <c r="DK51" s="45"/>
      <c r="DL51" s="52"/>
      <c r="DM51" s="45"/>
      <c r="DN51" s="53"/>
      <c r="DO51" s="12"/>
    </row>
    <row r="52" spans="2:119" ht="12" customHeight="1">
      <c r="B52" s="15"/>
      <c r="C52" s="31"/>
      <c r="D52" s="16"/>
      <c r="E52" s="16"/>
      <c r="F52" s="16"/>
      <c r="G52" s="10"/>
      <c r="H52" s="127" t="s">
        <v>62</v>
      </c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29"/>
      <c r="AL52" s="6"/>
      <c r="DI52" s="12"/>
      <c r="DJ52" s="12"/>
      <c r="DK52" s="12"/>
      <c r="DL52" s="54"/>
      <c r="DM52" s="55"/>
      <c r="DN52" s="53"/>
      <c r="DO52" s="12"/>
    </row>
    <row r="53" spans="2:119" ht="12" customHeight="1">
      <c r="B53" s="15"/>
      <c r="C53" s="31"/>
      <c r="D53" s="16"/>
      <c r="E53" s="16"/>
      <c r="F53" s="16"/>
      <c r="G53" s="16"/>
      <c r="H53" s="16"/>
      <c r="I53" s="16"/>
      <c r="J53" s="16"/>
      <c r="K53" s="16"/>
      <c r="L53" s="16"/>
      <c r="M53" s="25"/>
      <c r="N53" s="25"/>
      <c r="O53" s="26"/>
      <c r="P53" s="27"/>
      <c r="Q53" s="27"/>
      <c r="R53" s="27"/>
      <c r="S53" s="27"/>
      <c r="T53" s="26"/>
      <c r="U53" s="28"/>
      <c r="V53" s="28"/>
      <c r="W53" s="18"/>
      <c r="X53" s="18"/>
      <c r="Y53" s="18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6"/>
      <c r="DI53" s="12"/>
      <c r="DJ53" s="12"/>
      <c r="DK53" s="12"/>
      <c r="DL53" s="54"/>
      <c r="DM53" s="55"/>
      <c r="DN53" s="12"/>
      <c r="DO53" s="12"/>
    </row>
    <row r="54" spans="2:119" ht="12" customHeight="1">
      <c r="B54" s="15"/>
      <c r="C54" s="180" t="s">
        <v>61</v>
      </c>
      <c r="D54" s="180"/>
      <c r="E54" s="180"/>
      <c r="F54" s="180"/>
      <c r="G54" s="180"/>
      <c r="H54" s="180"/>
      <c r="I54" s="180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6"/>
      <c r="AL54" s="6"/>
      <c r="DI54" s="56"/>
      <c r="DJ54" s="12"/>
      <c r="DK54" s="12"/>
      <c r="DL54" s="54"/>
      <c r="DM54" s="55"/>
      <c r="DN54" s="12"/>
      <c r="DO54" s="12"/>
    </row>
    <row r="55" spans="2:119" ht="12" customHeight="1">
      <c r="B55" s="15"/>
      <c r="C55" s="31"/>
      <c r="D55" s="16"/>
      <c r="E55" s="16"/>
      <c r="F55" s="16"/>
      <c r="G55" s="16"/>
      <c r="H55" s="16"/>
      <c r="I55" s="10"/>
      <c r="J55" s="127" t="s">
        <v>62</v>
      </c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29"/>
      <c r="AL55" s="6"/>
      <c r="DI55" s="56"/>
      <c r="DJ55" s="12"/>
      <c r="DK55" s="12"/>
      <c r="DL55" s="12"/>
      <c r="DM55" s="54"/>
      <c r="DN55" s="12"/>
      <c r="DO55" s="12"/>
    </row>
    <row r="56" spans="2:119" ht="12" customHeight="1">
      <c r="B56" s="15"/>
      <c r="C56" s="31"/>
      <c r="D56" s="16"/>
      <c r="E56" s="16"/>
      <c r="F56" s="16"/>
      <c r="G56" s="16"/>
      <c r="H56" s="16"/>
      <c r="I56" s="16"/>
      <c r="J56" s="16"/>
      <c r="K56" s="16"/>
      <c r="L56" s="16"/>
      <c r="M56" s="25"/>
      <c r="N56" s="25"/>
      <c r="O56" s="26"/>
      <c r="P56" s="27"/>
      <c r="Q56" s="27"/>
      <c r="R56" s="27"/>
      <c r="S56" s="27"/>
      <c r="T56" s="26"/>
      <c r="U56" s="28"/>
      <c r="V56" s="28"/>
      <c r="W56" s="18"/>
      <c r="X56" s="18"/>
      <c r="Y56" s="18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6"/>
      <c r="DI56" s="56"/>
      <c r="DJ56" s="54"/>
      <c r="DK56" s="12"/>
      <c r="DL56" s="12"/>
      <c r="DM56" s="12"/>
      <c r="DN56" s="12"/>
      <c r="DO56" s="12"/>
    </row>
    <row r="57" spans="2:119" ht="12" customHeight="1">
      <c r="B57" s="15"/>
      <c r="C57" s="177" t="s">
        <v>63</v>
      </c>
      <c r="D57" s="177"/>
      <c r="E57" s="177"/>
      <c r="F57" s="177"/>
      <c r="G57" s="177"/>
      <c r="H57" s="177"/>
      <c r="I57" s="177"/>
      <c r="J57" s="177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6"/>
      <c r="AL57" s="6"/>
      <c r="DI57" s="56"/>
      <c r="DJ57" s="54"/>
      <c r="DK57" s="12"/>
      <c r="DL57" s="12"/>
      <c r="DM57" s="12"/>
      <c r="DN57" s="12"/>
      <c r="DO57" s="12"/>
    </row>
    <row r="58" spans="2:119" ht="12" customHeight="1">
      <c r="B58" s="15"/>
      <c r="C58" s="31"/>
      <c r="D58" s="16"/>
      <c r="E58" s="16"/>
      <c r="F58" s="16"/>
      <c r="G58" s="16"/>
      <c r="H58" s="16"/>
      <c r="I58" s="16"/>
      <c r="J58" s="16"/>
      <c r="K58" s="127" t="s">
        <v>99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6"/>
      <c r="AL58" s="6"/>
      <c r="DI58" s="56"/>
      <c r="DJ58" s="54"/>
      <c r="DK58" s="12"/>
      <c r="DL58" s="12"/>
      <c r="DM58" s="55"/>
      <c r="DN58" s="12"/>
      <c r="DO58" s="12"/>
    </row>
    <row r="59" spans="2:119" ht="12" customHeight="1">
      <c r="B59" s="15"/>
      <c r="C59" s="31"/>
      <c r="D59" s="16"/>
      <c r="E59" s="16"/>
      <c r="F59" s="16"/>
      <c r="G59" s="16"/>
      <c r="H59" s="16"/>
      <c r="I59" s="16"/>
      <c r="J59" s="16"/>
      <c r="K59" s="16"/>
      <c r="L59" s="16"/>
      <c r="M59" s="25"/>
      <c r="N59" s="25"/>
      <c r="O59" s="26"/>
      <c r="P59" s="27"/>
      <c r="Q59" s="27"/>
      <c r="R59" s="27"/>
      <c r="S59" s="27"/>
      <c r="T59" s="26"/>
      <c r="U59" s="28"/>
      <c r="V59" s="28"/>
      <c r="W59" s="18"/>
      <c r="X59" s="18"/>
      <c r="Y59" s="18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6"/>
      <c r="DI59" s="56"/>
      <c r="DJ59" s="54"/>
      <c r="DK59" s="12"/>
      <c r="DL59" s="12"/>
      <c r="DM59" s="55"/>
      <c r="DN59" s="12"/>
      <c r="DO59" s="12"/>
    </row>
    <row r="60" spans="2:119" ht="12" customHeight="1">
      <c r="B60" s="15"/>
      <c r="C60" s="144" t="s">
        <v>64</v>
      </c>
      <c r="D60" s="144"/>
      <c r="E60" s="144"/>
      <c r="F60" s="144"/>
      <c r="G60" s="144"/>
      <c r="H60" s="173"/>
      <c r="I60" s="174"/>
      <c r="J60" s="174"/>
      <c r="K60" s="174"/>
      <c r="L60" s="174"/>
      <c r="M60" s="174"/>
      <c r="N60" s="174"/>
      <c r="O60" s="174"/>
      <c r="P60" s="174"/>
      <c r="Q60" s="176" t="s">
        <v>67</v>
      </c>
      <c r="R60" s="176"/>
      <c r="S60" s="176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6"/>
      <c r="AL60" s="6"/>
      <c r="DI60" s="56"/>
      <c r="DJ60" s="54"/>
      <c r="DK60" s="12"/>
      <c r="DL60" s="54"/>
      <c r="DM60" s="12"/>
      <c r="DN60" s="12"/>
      <c r="DO60" s="12"/>
    </row>
    <row r="61" spans="2:119" ht="12" customHeight="1">
      <c r="B61" s="15"/>
      <c r="C61" s="31"/>
      <c r="D61" s="16"/>
      <c r="E61" s="16"/>
      <c r="F61" s="16"/>
      <c r="G61" s="16"/>
      <c r="H61" s="175" t="s">
        <v>68</v>
      </c>
      <c r="I61" s="175"/>
      <c r="J61" s="175"/>
      <c r="K61" s="175"/>
      <c r="L61" s="175"/>
      <c r="M61" s="175"/>
      <c r="N61" s="175"/>
      <c r="O61" s="175"/>
      <c r="P61" s="175"/>
      <c r="Q61" s="27"/>
      <c r="R61" s="27"/>
      <c r="S61" s="27"/>
      <c r="T61" s="172" t="s">
        <v>69</v>
      </c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6"/>
      <c r="AL61" s="6"/>
      <c r="DI61" s="56"/>
      <c r="DJ61" s="54"/>
      <c r="DK61" s="12"/>
      <c r="DL61" s="12"/>
      <c r="DM61" s="12"/>
      <c r="DN61" s="12"/>
      <c r="DO61" s="12"/>
    </row>
    <row r="62" spans="2:119" ht="12" customHeight="1">
      <c r="B62" s="15"/>
      <c r="C62" s="31"/>
      <c r="D62" s="16"/>
      <c r="E62" s="16"/>
      <c r="F62" s="16"/>
      <c r="G62" s="16"/>
      <c r="H62" s="16"/>
      <c r="I62" s="16"/>
      <c r="J62" s="16"/>
      <c r="K62" s="16"/>
      <c r="L62" s="16"/>
      <c r="M62" s="25"/>
      <c r="N62" s="25"/>
      <c r="O62" s="26"/>
      <c r="P62" s="27"/>
      <c r="Q62" s="27"/>
      <c r="R62" s="43"/>
      <c r="S62" s="27"/>
      <c r="T62" s="26"/>
      <c r="U62" s="28"/>
      <c r="V62" s="28"/>
      <c r="W62" s="18"/>
      <c r="X62" s="18"/>
      <c r="Y62" s="18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6"/>
      <c r="DI62" s="56"/>
      <c r="DJ62" s="54"/>
      <c r="DK62" s="12"/>
      <c r="DL62" s="12"/>
      <c r="DM62" s="55"/>
      <c r="DN62" s="12"/>
      <c r="DO62" s="45"/>
    </row>
    <row r="63" spans="2:119" ht="12" customHeight="1">
      <c r="B63" s="15"/>
      <c r="C63" s="144" t="s">
        <v>65</v>
      </c>
      <c r="D63" s="144"/>
      <c r="E63" s="144"/>
      <c r="F63" s="144"/>
      <c r="G63" s="144"/>
      <c r="H63" s="144"/>
      <c r="I63" s="14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6"/>
      <c r="AL63" s="6"/>
      <c r="DI63" s="56"/>
      <c r="DJ63" s="54"/>
      <c r="DK63" s="12"/>
      <c r="DL63" s="12"/>
      <c r="DM63" s="55"/>
      <c r="DN63" s="12"/>
      <c r="DO63" s="12"/>
    </row>
    <row r="64" spans="2:119" ht="12" customHeight="1">
      <c r="B64" s="15"/>
      <c r="C64" s="31"/>
      <c r="D64" s="16"/>
      <c r="E64" s="16"/>
      <c r="F64" s="16"/>
      <c r="G64" s="16"/>
      <c r="H64" s="16"/>
      <c r="I64" s="16"/>
      <c r="J64" s="127" t="s">
        <v>62</v>
      </c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6"/>
      <c r="AL64" s="6"/>
      <c r="DI64" s="56"/>
      <c r="DJ64" s="54"/>
      <c r="DK64" s="12"/>
      <c r="DL64" s="12"/>
      <c r="DM64" s="12"/>
      <c r="DN64" s="12"/>
      <c r="DO64" s="12"/>
    </row>
    <row r="65" spans="2:119" ht="12" customHeight="1">
      <c r="B65" s="15"/>
      <c r="C65" s="31"/>
      <c r="D65" s="16"/>
      <c r="E65" s="16"/>
      <c r="F65" s="16"/>
      <c r="G65" s="16"/>
      <c r="H65" s="16"/>
      <c r="I65" s="16"/>
      <c r="J65" s="16"/>
      <c r="K65" s="16"/>
      <c r="L65" s="16"/>
      <c r="M65" s="25"/>
      <c r="N65" s="25"/>
      <c r="O65" s="26"/>
      <c r="P65" s="27"/>
      <c r="Q65" s="27"/>
      <c r="R65" s="27"/>
      <c r="S65" s="27"/>
      <c r="T65" s="26"/>
      <c r="U65" s="28"/>
      <c r="V65" s="28"/>
      <c r="W65" s="18"/>
      <c r="X65" s="18"/>
      <c r="Y65" s="18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6"/>
      <c r="DI65" s="56"/>
      <c r="DJ65" s="54"/>
      <c r="DK65" s="12"/>
      <c r="DL65" s="12"/>
      <c r="DM65" s="12"/>
      <c r="DN65" s="12"/>
      <c r="DO65" s="12"/>
    </row>
    <row r="66" spans="2:119" ht="12" customHeight="1">
      <c r="B66" s="15"/>
      <c r="C66" s="177" t="s">
        <v>66</v>
      </c>
      <c r="D66" s="177"/>
      <c r="E66" s="177"/>
      <c r="F66" s="177"/>
      <c r="G66" s="177"/>
      <c r="H66" s="177"/>
      <c r="I66" s="177"/>
      <c r="J66" s="177"/>
      <c r="K66" s="177"/>
      <c r="L66" s="177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6"/>
      <c r="AL66" s="6"/>
      <c r="DI66" s="56"/>
      <c r="DJ66" s="54"/>
      <c r="DK66" s="12"/>
      <c r="DL66" s="12"/>
      <c r="DM66" s="55"/>
      <c r="DN66" s="12"/>
      <c r="DO66" s="12"/>
    </row>
    <row r="67" spans="2:119" ht="12" customHeight="1">
      <c r="B67" s="15"/>
      <c r="C67" s="31"/>
      <c r="D67" s="16"/>
      <c r="E67" s="16"/>
      <c r="F67" s="16"/>
      <c r="G67" s="16"/>
      <c r="H67" s="16"/>
      <c r="I67" s="16"/>
      <c r="J67" s="16"/>
      <c r="K67" s="16"/>
      <c r="L67" s="183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6"/>
      <c r="AL67" s="6"/>
      <c r="DI67" s="56"/>
      <c r="DJ67" s="54"/>
      <c r="DK67" s="12"/>
      <c r="DL67" s="12"/>
      <c r="DM67" s="55"/>
      <c r="DN67" s="12"/>
      <c r="DO67" s="12"/>
    </row>
    <row r="68" spans="2:119" ht="12" customHeight="1" thickBo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9"/>
      <c r="DI68" s="56"/>
      <c r="DJ68" s="54"/>
      <c r="DK68" s="12"/>
      <c r="DL68" s="12"/>
      <c r="DM68" s="55"/>
      <c r="DN68" s="12"/>
      <c r="DO68" s="12"/>
    </row>
    <row r="69" spans="113:119" ht="12" customHeight="1">
      <c r="DI69" s="56"/>
      <c r="DJ69" s="54"/>
      <c r="DK69" s="12"/>
      <c r="DL69" s="12"/>
      <c r="DM69" s="12"/>
      <c r="DN69" s="12"/>
      <c r="DO69" s="12"/>
    </row>
    <row r="70" spans="113:119" ht="12" customHeight="1">
      <c r="DI70" s="56"/>
      <c r="DJ70" s="12"/>
      <c r="DK70" s="12"/>
      <c r="DL70" s="12"/>
      <c r="DM70" s="55"/>
      <c r="DN70" s="12"/>
      <c r="DO70" s="54"/>
    </row>
    <row r="71" spans="113:119" ht="12" customHeight="1">
      <c r="DI71" s="56"/>
      <c r="DJ71" s="54"/>
      <c r="DK71" s="12"/>
      <c r="DL71" s="12"/>
      <c r="DM71" s="55"/>
      <c r="DN71" s="12"/>
      <c r="DO71" s="54"/>
    </row>
    <row r="72" spans="113:119" ht="12" customHeight="1">
      <c r="DI72" s="56"/>
      <c r="DJ72" s="12"/>
      <c r="DK72" s="54"/>
      <c r="DL72" s="12"/>
      <c r="DM72" s="55"/>
      <c r="DN72" s="12"/>
      <c r="DO72" s="54"/>
    </row>
    <row r="73" spans="113:119" ht="12" customHeight="1">
      <c r="DI73" s="54"/>
      <c r="DJ73" s="12"/>
      <c r="DK73" s="54"/>
      <c r="DL73" s="12"/>
      <c r="DM73" s="55"/>
      <c r="DN73" s="12"/>
      <c r="DO73" s="12"/>
    </row>
    <row r="74" spans="113:119" ht="12" customHeight="1">
      <c r="DI74" s="12"/>
      <c r="DJ74" s="12"/>
      <c r="DK74" s="54"/>
      <c r="DL74" s="12"/>
      <c r="DM74" s="55"/>
      <c r="DN74" s="12"/>
      <c r="DO74" s="12"/>
    </row>
    <row r="75" spans="113:119" ht="12" customHeight="1">
      <c r="DI75" s="12"/>
      <c r="DJ75" s="12"/>
      <c r="DK75" s="12"/>
      <c r="DL75" s="12"/>
      <c r="DM75" s="12"/>
      <c r="DN75" s="12"/>
      <c r="DO75" s="12"/>
    </row>
    <row r="76" spans="113:119" ht="12" customHeight="1">
      <c r="DI76" s="12"/>
      <c r="DJ76" s="12"/>
      <c r="DK76" s="12"/>
      <c r="DL76" s="12"/>
      <c r="DM76" s="12"/>
      <c r="DN76" s="12"/>
      <c r="DO76" s="12"/>
    </row>
    <row r="77" spans="113:119" ht="12" customHeight="1">
      <c r="DI77" s="12"/>
      <c r="DJ77" s="12"/>
      <c r="DK77" s="12"/>
      <c r="DL77" s="12"/>
      <c r="DM77" s="12"/>
      <c r="DN77" s="12"/>
      <c r="DO77" s="12"/>
    </row>
    <row r="78" spans="113:119" ht="12" customHeight="1">
      <c r="DI78" s="12"/>
      <c r="DJ78" s="12"/>
      <c r="DK78" s="12"/>
      <c r="DL78" s="12"/>
      <c r="DM78" s="12"/>
      <c r="DN78" s="12"/>
      <c r="DO78" s="12"/>
    </row>
    <row r="79" spans="113:119" ht="12" customHeight="1">
      <c r="DI79" s="12"/>
      <c r="DJ79" s="12"/>
      <c r="DK79" s="12"/>
      <c r="DL79" s="12"/>
      <c r="DM79" s="12"/>
      <c r="DN79" s="12"/>
      <c r="DO79" s="12"/>
    </row>
    <row r="80" spans="113:119" ht="12" customHeight="1">
      <c r="DI80" s="12"/>
      <c r="DJ80" s="12"/>
      <c r="DK80" s="12"/>
      <c r="DL80" s="12"/>
      <c r="DM80" s="12"/>
      <c r="DN80" s="12"/>
      <c r="DO80" s="12"/>
    </row>
    <row r="81" spans="113:119" ht="12" customHeight="1">
      <c r="DI81" s="12"/>
      <c r="DJ81" s="12"/>
      <c r="DK81" s="12"/>
      <c r="DL81" s="12"/>
      <c r="DM81" s="12"/>
      <c r="DN81" s="12"/>
      <c r="DO81" s="12"/>
    </row>
    <row r="82" spans="113:119" ht="12" customHeight="1">
      <c r="DI82" s="12"/>
      <c r="DJ82" s="12"/>
      <c r="DK82" s="12"/>
      <c r="DL82" s="12"/>
      <c r="DM82" s="12"/>
      <c r="DN82" s="12"/>
      <c r="DO82" s="12"/>
    </row>
    <row r="83" spans="113:119" ht="12" customHeight="1">
      <c r="DI83" s="57"/>
      <c r="DJ83" s="12"/>
      <c r="DK83" s="12"/>
      <c r="DL83" s="12"/>
      <c r="DM83" s="12"/>
      <c r="DN83" s="12"/>
      <c r="DO83" s="12"/>
    </row>
    <row r="84" spans="113:119" ht="12" customHeight="1">
      <c r="DI84" s="12"/>
      <c r="DJ84" s="12"/>
      <c r="DK84" s="12"/>
      <c r="DL84" s="12"/>
      <c r="DM84" s="12"/>
      <c r="DN84" s="12"/>
      <c r="DO84" s="12"/>
    </row>
    <row r="85" spans="113:119" ht="12" customHeight="1">
      <c r="DI85" s="12"/>
      <c r="DJ85" s="12"/>
      <c r="DK85" s="12"/>
      <c r="DL85" s="12"/>
      <c r="DM85" s="12"/>
      <c r="DN85" s="12"/>
      <c r="DO85" s="12"/>
    </row>
    <row r="90" spans="46:49" ht="12" customHeight="1">
      <c r="AT90" s="72"/>
      <c r="AU90" s="72"/>
      <c r="AV90" s="72"/>
      <c r="AW90" s="72"/>
    </row>
    <row r="91" spans="46:49" ht="12" customHeight="1">
      <c r="AT91" s="72"/>
      <c r="AU91" s="72"/>
      <c r="AV91" s="72"/>
      <c r="AW91" s="72"/>
    </row>
    <row r="92" spans="46:49" ht="12" customHeight="1">
      <c r="AT92" s="72"/>
      <c r="AU92" s="72"/>
      <c r="AV92" s="72"/>
      <c r="AW92" s="72"/>
    </row>
    <row r="93" spans="46:49" ht="12" customHeight="1">
      <c r="AT93" s="72"/>
      <c r="AU93" s="72"/>
      <c r="AV93" s="72"/>
      <c r="AW93" s="72"/>
    </row>
    <row r="94" spans="46:49" ht="12" customHeight="1">
      <c r="AT94" s="72"/>
      <c r="AU94" s="72"/>
      <c r="AV94" s="72"/>
      <c r="AW94" s="72"/>
    </row>
    <row r="95" spans="46:49" ht="12" customHeight="1">
      <c r="AT95" s="72"/>
      <c r="AU95" s="72"/>
      <c r="AV95" s="72"/>
      <c r="AW95" s="72"/>
    </row>
    <row r="96" spans="46:49" ht="12" customHeight="1">
      <c r="AT96" s="72"/>
      <c r="AU96" s="72"/>
      <c r="AV96" s="72"/>
      <c r="AW96" s="72"/>
    </row>
    <row r="97" spans="46:49" ht="12" customHeight="1">
      <c r="AT97" s="72"/>
      <c r="AU97" s="72"/>
      <c r="AV97" s="72"/>
      <c r="AW97" s="72"/>
    </row>
    <row r="98" spans="46:112" ht="12" customHeight="1">
      <c r="AT98" s="72"/>
      <c r="AU98" s="72"/>
      <c r="AV98" s="72"/>
      <c r="AW98" s="72"/>
      <c r="DG98" s="11"/>
      <c r="DH98" s="11"/>
    </row>
    <row r="99" spans="46:112" ht="12" customHeight="1">
      <c r="AT99" s="72"/>
      <c r="AU99" s="72"/>
      <c r="AV99" s="72"/>
      <c r="AW99" s="72"/>
      <c r="DG99" s="11"/>
      <c r="DH99" s="11"/>
    </row>
    <row r="100" spans="45:139" s="33" customFormat="1" ht="12" customHeight="1">
      <c r="AS100" s="72"/>
      <c r="AT100" s="72"/>
      <c r="AU100" s="72"/>
      <c r="AV100" s="72"/>
      <c r="AW100" s="72"/>
      <c r="AX100" s="72"/>
      <c r="DG100" s="34"/>
      <c r="DH100" s="34"/>
      <c r="DI100" s="58"/>
      <c r="DJ100" s="59"/>
      <c r="DK100" s="59"/>
      <c r="DL100" s="59"/>
      <c r="DM100" s="60">
        <f>Z42</f>
        <v>13951.93</v>
      </c>
      <c r="DN100" s="58"/>
      <c r="DO100" s="61"/>
      <c r="DP100" s="62"/>
      <c r="DQ100" s="36"/>
      <c r="DR100" s="36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</row>
    <row r="101" spans="45:139" s="33" customFormat="1" ht="12" customHeight="1">
      <c r="AS101" s="72"/>
      <c r="AT101" s="72"/>
      <c r="AU101" s="72"/>
      <c r="AV101" s="72"/>
      <c r="AW101" s="72"/>
      <c r="AX101" s="72"/>
      <c r="DG101" s="34"/>
      <c r="DH101" s="34"/>
      <c r="DI101" s="63" t="s">
        <v>3</v>
      </c>
      <c r="DJ101" s="64" t="str">
        <f>SUBSTITUTE(DJ103,DN107,DN108,1)</f>
        <v>0тысяч 000рубль </v>
      </c>
      <c r="DK101" s="63"/>
      <c r="DL101" s="63"/>
      <c r="DM101" s="65"/>
      <c r="DN101" s="63"/>
      <c r="DO101" s="63"/>
      <c r="DP101" s="62"/>
      <c r="DQ101" s="36"/>
      <c r="DR101" s="36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</row>
    <row r="102" spans="45:139" s="33" customFormat="1" ht="12" customHeight="1">
      <c r="AS102" s="72"/>
      <c r="AT102" s="72"/>
      <c r="AU102" s="72"/>
      <c r="AV102" s="72"/>
      <c r="AW102" s="72"/>
      <c r="AX102" s="72"/>
      <c r="DG102" s="34"/>
      <c r="DH102" s="34"/>
      <c r="DI102" s="63" t="s">
        <v>4</v>
      </c>
      <c r="DJ102" s="64" t="str">
        <f>SUBSTITUTE(DJ104,DN107,DN108,1)</f>
        <v>0тысяч 000рубль </v>
      </c>
      <c r="DK102" s="63"/>
      <c r="DL102" s="63"/>
      <c r="DM102" s="63"/>
      <c r="DN102" s="63"/>
      <c r="DO102" s="63"/>
      <c r="DP102" s="62"/>
      <c r="DQ102" s="36"/>
      <c r="DR102" s="36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</row>
    <row r="103" spans="45:139" s="33" customFormat="1" ht="12" customHeight="1">
      <c r="AS103" s="72"/>
      <c r="AT103" s="72"/>
      <c r="AU103" s="72"/>
      <c r="AV103" s="72"/>
      <c r="AW103" s="72"/>
      <c r="AX103" s="72"/>
      <c r="DG103" s="34"/>
      <c r="DH103" s="34"/>
      <c r="DI103" s="63" t="s">
        <v>5</v>
      </c>
      <c r="DJ103" s="64" t="str">
        <f>CONCATENATE(DI106,DI107,DI108,DI109,DI110)</f>
        <v>0тысяч 000рубль </v>
      </c>
      <c r="DK103" s="63"/>
      <c r="DL103" s="63"/>
      <c r="DM103" s="63"/>
      <c r="DN103" s="63"/>
      <c r="DO103" s="63"/>
      <c r="DP103" s="63"/>
      <c r="DQ103" s="37"/>
      <c r="DR103" s="37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</row>
    <row r="104" spans="45:139" s="33" customFormat="1" ht="12" customHeight="1">
      <c r="AS104" s="72"/>
      <c r="AT104" s="72"/>
      <c r="AU104" s="72"/>
      <c r="AV104" s="72"/>
      <c r="AW104" s="72"/>
      <c r="AX104" s="72"/>
      <c r="DG104" s="34"/>
      <c r="DH104" s="34"/>
      <c r="DI104" s="63" t="s">
        <v>6</v>
      </c>
      <c r="DJ104" s="64" t="str">
        <f>CONCATENATE(DI106,DI107,DI108,DI109,DI110,DJ106,DJ107,DK107)</f>
        <v>0тысяч 000рубль </v>
      </c>
      <c r="DK104" s="63"/>
      <c r="DL104" s="63"/>
      <c r="DM104" s="63"/>
      <c r="DN104" s="64"/>
      <c r="DO104" s="64"/>
      <c r="DP104" s="63"/>
      <c r="DQ104" s="37"/>
      <c r="DR104" s="37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</row>
    <row r="105" spans="45:139" s="33" customFormat="1" ht="12" customHeight="1">
      <c r="AS105" s="72"/>
      <c r="AT105" s="72"/>
      <c r="AU105" s="72"/>
      <c r="AV105" s="72"/>
      <c r="AW105" s="72"/>
      <c r="AX105" s="72"/>
      <c r="DG105" s="34"/>
      <c r="DH105" s="34"/>
      <c r="DI105" s="58"/>
      <c r="DJ105" s="58"/>
      <c r="DK105" s="58"/>
      <c r="DL105" s="66"/>
      <c r="DM105" s="58"/>
      <c r="DN105" s="58"/>
      <c r="DO105" s="58"/>
      <c r="DP105" s="63"/>
      <c r="DQ105" s="37"/>
      <c r="DR105" s="37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</row>
    <row r="106" spans="45:139" s="33" customFormat="1" ht="12" customHeight="1">
      <c r="AS106" s="72"/>
      <c r="AT106" s="72"/>
      <c r="AU106" s="72"/>
      <c r="AV106" s="72"/>
      <c r="AW106" s="72"/>
      <c r="AX106" s="72"/>
      <c r="DG106" s="34"/>
      <c r="DH106" s="34"/>
      <c r="DI106" s="35">
        <f>CONCATENATE(IF(DJ113=0,"",DM113),IF(DJ114=0,"",IF(DK115&lt;20,IF(DK115&lt;16,IF(DK115&lt;10,DM114,DL115),DN115),DM114)),IF(DJ115=0,"",IF(NOT(DJ114=1),DM115,"")),DN116)</f>
      </c>
      <c r="DJ106" s="58"/>
      <c r="DK106" s="58"/>
      <c r="DL106" s="66"/>
      <c r="DM106" s="58"/>
      <c r="DN106" s="67">
        <f>CODE(DJ104)</f>
        <v>48</v>
      </c>
      <c r="DO106" s="35"/>
      <c r="DP106" s="58"/>
      <c r="DQ106" s="38"/>
      <c r="DR106" s="38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</row>
    <row r="107" spans="45:139" s="33" customFormat="1" ht="12" customHeight="1">
      <c r="AS107" s="72"/>
      <c r="AT107" s="72"/>
      <c r="AU107" s="72"/>
      <c r="AV107" s="72"/>
      <c r="AW107" s="72"/>
      <c r="AX107" s="72"/>
      <c r="DG107" s="34"/>
      <c r="DH107" s="34"/>
      <c r="DI107" s="35">
        <f>CONCATENATE(IF(DJ117=0,"",DM117),IF(DJ118=0,"",IF(DK119&lt;20,IF(DK119&lt;16,IF(DK119&lt;10,DM118,DL119),DN119),DM118)),IF(DJ119=0,"",IF(NOT(DJ118=1),DM119,"")),DN120)</f>
      </c>
      <c r="DJ107" s="58"/>
      <c r="DK107" s="58"/>
      <c r="DL107" s="66"/>
      <c r="DM107" s="58"/>
      <c r="DN107" s="67" t="str">
        <f>CHAR(DN106)</f>
        <v>0</v>
      </c>
      <c r="DO107" s="35"/>
      <c r="DP107" s="68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</row>
    <row r="108" spans="45:139" s="33" customFormat="1" ht="12" customHeight="1">
      <c r="AS108" s="72"/>
      <c r="AT108" s="72"/>
      <c r="AU108" s="72"/>
      <c r="AV108" s="72"/>
      <c r="AW108" s="72"/>
      <c r="AX108" s="72"/>
      <c r="DG108" s="34"/>
      <c r="DH108" s="34"/>
      <c r="DI108" s="35" t="str">
        <f>CONCATENATE(IF(DJ121=0,"",DM121),IF(DJ122=0,"",IF(DK123&lt;20,IF(DK123&lt;16,IF(DK123&lt;10,DM122,DL123),DN123),DM122)),IF(DJ123=0,"",IF(NOT(DJ122=1),DM123,"")),DN124)</f>
        <v>0тысяч </v>
      </c>
      <c r="DJ108" s="35"/>
      <c r="DK108" s="35"/>
      <c r="DL108" s="69"/>
      <c r="DM108" s="70"/>
      <c r="DN108" s="67" t="str">
        <f>PROPER(DN107)</f>
        <v>0</v>
      </c>
      <c r="DO108" s="35"/>
      <c r="DP108" s="68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</row>
    <row r="109" spans="45:139" s="33" customFormat="1" ht="12" customHeight="1">
      <c r="AS109" s="72"/>
      <c r="AT109" s="72"/>
      <c r="AU109" s="72"/>
      <c r="AV109" s="72"/>
      <c r="AW109" s="72"/>
      <c r="AX109" s="72"/>
      <c r="DG109" s="34"/>
      <c r="DH109" s="34"/>
      <c r="DI109" s="35" t="str">
        <f>CONCATENATE(IF(DJ125=0,"",DM125),IF(DJ126=0,"",IF(DK127&lt;20,IF(DK127&lt;16,IF(DK127&lt;10,DM126,DL127),DN127),DM126)),IF(DJ127=0,"",IF(NOT(DJ126=1),DM127,"")),DN128)</f>
        <v>000рубль </v>
      </c>
      <c r="DJ109" s="35"/>
      <c r="DK109" s="35"/>
      <c r="DL109" s="69"/>
      <c r="DM109" s="70"/>
      <c r="DN109" s="35"/>
      <c r="DO109" s="35"/>
      <c r="DP109" s="68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</row>
    <row r="110" spans="45:139" s="33" customFormat="1" ht="12" customHeight="1">
      <c r="AS110" s="72"/>
      <c r="AT110" s="72"/>
      <c r="AU110" s="72"/>
      <c r="AV110" s="72"/>
      <c r="AW110" s="72"/>
      <c r="AX110" s="72"/>
      <c r="DG110" s="34"/>
      <c r="DH110" s="34"/>
      <c r="DI110" s="71"/>
      <c r="DJ110" s="35"/>
      <c r="DK110" s="35"/>
      <c r="DL110" s="69"/>
      <c r="DM110" s="70"/>
      <c r="DN110" s="35"/>
      <c r="DO110" s="35"/>
      <c r="DP110" s="68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</row>
    <row r="111" spans="45:139" s="33" customFormat="1" ht="12" customHeight="1">
      <c r="AS111" s="72"/>
      <c r="AT111" s="72"/>
      <c r="AU111" s="72"/>
      <c r="AV111" s="72"/>
      <c r="AW111" s="72"/>
      <c r="AX111" s="72"/>
      <c r="DG111" s="34"/>
      <c r="DH111" s="34"/>
      <c r="DI111" s="71"/>
      <c r="DJ111" s="35"/>
      <c r="DK111" s="35"/>
      <c r="DL111" s="35"/>
      <c r="DM111" s="69">
        <f>TRUNC(DM100)</f>
        <v>13951</v>
      </c>
      <c r="DN111" s="35" t="s">
        <v>7</v>
      </c>
      <c r="DO111" s="35"/>
      <c r="DP111" s="68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</row>
    <row r="112" spans="45:139" s="33" customFormat="1" ht="12" customHeight="1">
      <c r="AS112" s="72"/>
      <c r="AT112" s="72"/>
      <c r="AU112" s="72"/>
      <c r="AV112" s="72"/>
      <c r="AW112" s="72"/>
      <c r="AX112" s="72"/>
      <c r="DG112" s="34"/>
      <c r="DH112" s="34"/>
      <c r="DI112" s="71">
        <f>TRUNC(DI113/10)</f>
        <v>0</v>
      </c>
      <c r="DJ112" s="69"/>
      <c r="DK112" s="35"/>
      <c r="DL112" s="35"/>
      <c r="DM112" s="35"/>
      <c r="DN112" s="35"/>
      <c r="DO112" s="35"/>
      <c r="DP112" s="68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</row>
    <row r="113" spans="45:139" s="33" customFormat="1" ht="12" customHeight="1">
      <c r="AS113" s="72"/>
      <c r="AT113" s="72"/>
      <c r="AU113" s="72"/>
      <c r="AV113" s="72"/>
      <c r="AW113" s="72"/>
      <c r="AX113" s="72"/>
      <c r="DG113" s="34"/>
      <c r="DH113" s="34"/>
      <c r="DI113" s="71">
        <f>TRUNC(DI114/10)</f>
        <v>0</v>
      </c>
      <c r="DJ113" s="69">
        <f>TRUNC(RIGHT(DI113))</f>
        <v>0</v>
      </c>
      <c r="DK113" s="35">
        <f>DJ113</f>
        <v>0</v>
      </c>
      <c r="DL113" s="35"/>
      <c r="DM113" s="35">
        <f>IF(DJ113=1,DM141,IF(DJ113=2,DO133,IF(DJ113=3,DO134,IF(DJ113=4,DO135,IF(DJ113=5,DO136,IF(DJ113=6,DO137,IF(DJ113=7,DO138,IF(DJ113=8,DO139,DO140))))))))</f>
        <v>0</v>
      </c>
      <c r="DN113" s="35"/>
      <c r="DO113" s="35"/>
      <c r="DP113" s="68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</row>
    <row r="114" spans="45:139" s="33" customFormat="1" ht="12" customHeight="1">
      <c r="AS114" s="72"/>
      <c r="AT114" s="72"/>
      <c r="AU114" s="72"/>
      <c r="AV114" s="72"/>
      <c r="AW114" s="72"/>
      <c r="AX114" s="72"/>
      <c r="DG114" s="34"/>
      <c r="DH114" s="34"/>
      <c r="DI114" s="71">
        <f>TRUNC(DI115/10)</f>
        <v>0</v>
      </c>
      <c r="DJ114" s="69">
        <f>TRUNC(RIGHT(DI114))</f>
        <v>0</v>
      </c>
      <c r="DK114" s="35">
        <f>IF(DJ114=1,"",DJ114)</f>
        <v>0</v>
      </c>
      <c r="DL114" s="35"/>
      <c r="DM114" s="70">
        <f>IF(OR(DK114=0,DJ114=1),"",IF(DJ114=2,DM133,IF(DJ114=3,DM134,IF(DJ114=4,DM135,IF(DJ114=5,DM136,IF(DJ114=6,DM137,IF(DJ114=7,DM138,IF(DJ114=8,DM139,DM140))))))))</f>
      </c>
      <c r="DN114" s="35"/>
      <c r="DO114" s="35"/>
      <c r="DP114" s="68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</row>
    <row r="115" spans="45:139" s="33" customFormat="1" ht="12" customHeight="1">
      <c r="AS115" s="72"/>
      <c r="AT115" s="72"/>
      <c r="AU115" s="72"/>
      <c r="AV115" s="72"/>
      <c r="AW115" s="72"/>
      <c r="AX115" s="72"/>
      <c r="DG115" s="34"/>
      <c r="DH115" s="34"/>
      <c r="DI115" s="71">
        <f>TRUNC(DI117/10)</f>
        <v>0</v>
      </c>
      <c r="DJ115" s="69">
        <f>TRUNC(RIGHT(DI115))</f>
        <v>0</v>
      </c>
      <c r="DK115" s="35">
        <f>IF(DJ114=1,DJ115+10,IF(DJ115=0,0,DJ115))</f>
        <v>0</v>
      </c>
      <c r="DL115" s="35">
        <f>IF(AND(DK115&gt;9,DK115&lt;16),IF(DK115=10,DL132,IF(DK115=11,DL133,IF(DK115=12,DL134,IF(DK115=13,DL135,IF(DK115=14,DL136,IF(DK115=15,DL137,)))))),"")</f>
      </c>
      <c r="DM115" s="70">
        <f>IF(DJ115=1,DI132,IF(DJ115=2,DI133,IF(DJ115=3,DI134,IF(DJ115=4,DI135,IF(DJ115=5,DI136,IF(DJ115=6,DI137,IF(DJ115=7,DI138,IF(DJ115=8,DI139,DI140))))))))</f>
        <v>0</v>
      </c>
      <c r="DN115" s="35">
        <f>IF(AND(DK115&gt;15,DK115&lt;20),IF(DK115=16,DL138,IF(DK115=17,DL139,IF(DK115=18,DL140,IF(DK115=19,DL141,)))),"")</f>
      </c>
      <c r="DO115" s="35"/>
      <c r="DP115" s="68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</row>
    <row r="116" spans="45:139" s="33" customFormat="1" ht="12" customHeight="1">
      <c r="AS116" s="72"/>
      <c r="AT116" s="72"/>
      <c r="AU116" s="72"/>
      <c r="AV116" s="72"/>
      <c r="AW116" s="72"/>
      <c r="AX116" s="72"/>
      <c r="DG116" s="34"/>
      <c r="DH116" s="34"/>
      <c r="DI116" s="71"/>
      <c r="DJ116" s="69"/>
      <c r="DK116" s="35"/>
      <c r="DL116" s="69"/>
      <c r="DM116" s="35">
        <f>DJ115+DJ114*10+DJ113*100</f>
        <v>0</v>
      </c>
      <c r="DN116" s="35">
        <f>IF(DM116=0,"",IF(DJ114=1,"миллиардов ",IF(DJ115=1,"миллиард ",IF(OR(DJ115=2,DJ115=3,DJ115=4),"миллиарда ","миллиардов "))))</f>
      </c>
      <c r="DO116" s="35"/>
      <c r="DP116" s="68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</row>
    <row r="117" spans="45:139" s="33" customFormat="1" ht="12" customHeight="1">
      <c r="AS117" s="72"/>
      <c r="AT117" s="72"/>
      <c r="AU117" s="72"/>
      <c r="AV117" s="72"/>
      <c r="AW117" s="72"/>
      <c r="AX117" s="72"/>
      <c r="DG117" s="34"/>
      <c r="DH117" s="34"/>
      <c r="DI117" s="71">
        <f>TRUNC(DI118/10)</f>
        <v>0</v>
      </c>
      <c r="DJ117" s="69">
        <f>TRUNC(RIGHT(DI117))</f>
        <v>0</v>
      </c>
      <c r="DK117" s="35">
        <f>DJ117</f>
        <v>0</v>
      </c>
      <c r="DL117" s="35"/>
      <c r="DM117" s="35">
        <f>IF(DJ117=1,DM141,IF(DJ117=2,DO133,IF(DJ117=3,DO134,IF(DJ117=4,DO135,IF(DJ117=5,DO136,IF(DJ117=6,DO137,IF(DJ117=7,DO138,IF(DJ117=8,DO139,DO140))))))))</f>
        <v>0</v>
      </c>
      <c r="DN117" s="35"/>
      <c r="DO117" s="35"/>
      <c r="DP117" s="68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</row>
    <row r="118" spans="45:139" s="33" customFormat="1" ht="12" customHeight="1">
      <c r="AS118" s="72"/>
      <c r="AT118" s="72"/>
      <c r="AU118" s="72"/>
      <c r="AV118" s="72"/>
      <c r="AW118" s="72"/>
      <c r="AX118" s="72"/>
      <c r="DG118" s="34"/>
      <c r="DH118" s="34"/>
      <c r="DI118" s="71">
        <f>TRUNC(DI119/10)</f>
        <v>0</v>
      </c>
      <c r="DJ118" s="69">
        <f>TRUNC(RIGHT(DI118))</f>
        <v>0</v>
      </c>
      <c r="DK118" s="35">
        <f>IF(DJ118=1,"",DJ118)</f>
        <v>0</v>
      </c>
      <c r="DL118" s="35"/>
      <c r="DM118" s="70">
        <f>IF(OR(DK118=0,DJ118=1),"",IF(DJ118=2,DM133,IF(DJ118=3,DM134,IF(DJ118=4,DM135,IF(DJ118=5,DM136,IF(DJ118=6,DM137,IF(DJ118=7,DM138,IF(DJ118=8,DM139,DM140))))))))</f>
      </c>
      <c r="DN118" s="35"/>
      <c r="DO118" s="58"/>
      <c r="DP118" s="68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</row>
    <row r="119" spans="45:139" s="33" customFormat="1" ht="12" customHeight="1">
      <c r="AS119" s="72"/>
      <c r="AT119" s="72"/>
      <c r="AU119" s="72"/>
      <c r="AV119" s="72"/>
      <c r="AW119" s="72"/>
      <c r="AX119" s="72"/>
      <c r="DG119" s="34"/>
      <c r="DH119" s="34"/>
      <c r="DI119" s="71">
        <f>TRUNC(DI121/10)</f>
        <v>0</v>
      </c>
      <c r="DJ119" s="69">
        <f>TRUNC(RIGHT(DI119))</f>
        <v>0</v>
      </c>
      <c r="DK119" s="35">
        <f>IF(DJ118=1,DJ119+10,IF(DJ119=0,0,DJ119))</f>
        <v>0</v>
      </c>
      <c r="DL119" s="35">
        <f>IF(AND(DK119&gt;9,DK119&lt;16),IF(DK119=10,DL132,IF(DK119=11,DL133,IF(DK119=12,DL134,IF(DK119=13,DL135,IF(DK119=14,DL136,IF(DK119=15,DL137,)))))),"")</f>
      </c>
      <c r="DM119" s="70">
        <f>IF(DJ119=1,DI132,IF(DJ119=2,DI133,IF(DJ119=3,DI134,IF(DJ119=4,DI135,IF(DJ119=5,DI136,IF(DJ119=6,DI137,IF(DJ119=7,DI138,IF(DJ119=8,DI139,DI140))))))))</f>
        <v>0</v>
      </c>
      <c r="DN119" s="35">
        <f>IF(AND(DK119&gt;15,DK119&lt;20),IF(DK119=16,DL138,IF(DK119=17,DL139,IF(DK119=18,DL140,IF(DK119=19,DL141,)))),"")</f>
      </c>
      <c r="DO119" s="35"/>
      <c r="DP119" s="68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</row>
    <row r="120" spans="45:139" s="33" customFormat="1" ht="12" customHeight="1">
      <c r="AS120" s="72"/>
      <c r="AT120" s="72"/>
      <c r="AU120" s="72"/>
      <c r="AV120" s="72"/>
      <c r="AW120" s="72"/>
      <c r="AX120" s="72"/>
      <c r="DG120" s="34"/>
      <c r="DH120" s="34"/>
      <c r="DI120" s="71"/>
      <c r="DJ120" s="69"/>
      <c r="DK120" s="35"/>
      <c r="DL120" s="35"/>
      <c r="DM120" s="35">
        <f>DJ119+DJ118*10+DJ117*100</f>
        <v>0</v>
      </c>
      <c r="DN120" s="35">
        <f>IF(DM120=0,"",IF(DJ118=1,"миллионов ",IF(DJ119=1,"миллион ",IF(OR(DJ119=2,DJ119=3,DJ119=4),"миллиона ","миллионов "))))</f>
      </c>
      <c r="DO120" s="35"/>
      <c r="DP120" s="68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</row>
    <row r="121" spans="45:139" s="33" customFormat="1" ht="12" customHeight="1">
      <c r="AS121" s="72"/>
      <c r="AT121" s="72"/>
      <c r="AU121" s="72"/>
      <c r="AV121" s="72"/>
      <c r="AW121" s="72"/>
      <c r="AX121" s="72"/>
      <c r="DG121" s="34"/>
      <c r="DH121" s="34"/>
      <c r="DI121" s="71">
        <f>TRUNC(DI122/10)</f>
        <v>0</v>
      </c>
      <c r="DJ121" s="69">
        <f>TRUNC(RIGHT(DI121))</f>
        <v>0</v>
      </c>
      <c r="DK121" s="35">
        <f>DJ121</f>
        <v>0</v>
      </c>
      <c r="DL121" s="35"/>
      <c r="DM121" s="35">
        <f>IF(DJ121=1,DM141,IF(DJ121=2,DO133,IF(DJ121=3,DO134,IF(DJ121=4,DO135,IF(DJ121=5,DO136,IF(DJ121=6,DO137,IF(DJ121=7,DO138,IF(DJ121=8,DO139,DO140))))))))</f>
        <v>0</v>
      </c>
      <c r="DN121" s="35"/>
      <c r="DO121" s="35"/>
      <c r="DP121" s="68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</row>
    <row r="122" spans="45:139" s="33" customFormat="1" ht="12" customHeight="1">
      <c r="AS122" s="72"/>
      <c r="AT122" s="72"/>
      <c r="AU122" s="72"/>
      <c r="AV122" s="72"/>
      <c r="AW122" s="72"/>
      <c r="AX122" s="72"/>
      <c r="DG122" s="34"/>
      <c r="DH122" s="34"/>
      <c r="DI122" s="71">
        <f>TRUNC(DI123/10)</f>
        <v>1</v>
      </c>
      <c r="DJ122" s="69">
        <f>TRUNC(RIGHT(DI122))</f>
        <v>1</v>
      </c>
      <c r="DK122" s="35">
        <f>IF(DJ122=1,"",DJ122)</f>
      </c>
      <c r="DL122" s="35"/>
      <c r="DM122" s="70">
        <f>IF(OR(DK122=0,DJ122=1),"",IF(DJ122=2,DM133,IF(DJ122=3,DM134,IF(DJ122=4,DM135,IF(DJ122=5,DM136,IF(DJ122=6,DM137,IF(DJ122=7,DM138,IF(DJ122=8,DM139,DM140))))))))</f>
      </c>
      <c r="DN122" s="35"/>
      <c r="DO122" s="35"/>
      <c r="DP122" s="68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</row>
    <row r="123" spans="45:139" s="33" customFormat="1" ht="12" customHeight="1">
      <c r="AS123" s="72"/>
      <c r="AT123" s="72"/>
      <c r="AU123" s="72"/>
      <c r="AV123" s="72"/>
      <c r="AW123" s="72"/>
      <c r="AX123" s="72"/>
      <c r="DG123" s="34"/>
      <c r="DH123" s="34"/>
      <c r="DI123" s="71">
        <f>TRUNC(DI125/10)</f>
        <v>13</v>
      </c>
      <c r="DJ123" s="69">
        <f>TRUNC(RIGHT(DI123))</f>
        <v>3</v>
      </c>
      <c r="DK123" s="35">
        <f>IF(DJ122=1,DJ123+10,IF(DJ123=0,0,DJ123))</f>
        <v>13</v>
      </c>
      <c r="DL123" s="35">
        <f>IF(AND(DK123&gt;9,DK123&lt;16),IF(DK123=10,DL132,IF(DK123=11,DL133,IF(DK123=12,DL134,IF(DK123=13,DL135,IF(DK123=14,DL136,IF(DK123=15,DL137,)))))),"")</f>
        <v>0</v>
      </c>
      <c r="DM123" s="70">
        <f>IF(DJ123=1,DJ132,IF(DJ123=2,DJ133,IF(DJ123=3,DI134,IF(DJ123=4,DI135,IF(DJ123=5,DI136,IF(DJ123=6,DI137,IF(DJ123=7,DI138,IF(DJ123=8,DI139,DI140))))))))</f>
        <v>0</v>
      </c>
      <c r="DN123" s="35">
        <f>IF(AND(DK123&gt;15,DK123&lt;20),IF(DK123=16,DL138,IF(DK123=17,DL139,IF(DK123=18,DL140,IF(DK123=19,DL141,)))),"")</f>
      </c>
      <c r="DO123" s="35"/>
      <c r="DP123" s="68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</row>
    <row r="124" spans="45:139" s="33" customFormat="1" ht="12" customHeight="1">
      <c r="AS124" s="72"/>
      <c r="AT124" s="72"/>
      <c r="AU124" s="72"/>
      <c r="AV124" s="72"/>
      <c r="AW124" s="72"/>
      <c r="AX124" s="72"/>
      <c r="DG124" s="34"/>
      <c r="DH124" s="34"/>
      <c r="DI124" s="71"/>
      <c r="DJ124" s="69"/>
      <c r="DK124" s="35"/>
      <c r="DL124" s="35"/>
      <c r="DM124" s="70">
        <f>DJ121*100+DJ122*10+DJ123</f>
        <v>13</v>
      </c>
      <c r="DN124" s="35" t="str">
        <f>IF(DM124=0,"",IF(DJ122=1,"тысяч ",IF(DJ123=1,"тысяча ",IF(OR(DJ123=2,DJ123=3,DJ123=4),"тысячи ","тысяч "))))</f>
        <v>тысяч </v>
      </c>
      <c r="DO124" s="35"/>
      <c r="DP124" s="68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</row>
    <row r="125" spans="45:139" s="33" customFormat="1" ht="12" customHeight="1">
      <c r="AS125" s="72"/>
      <c r="AT125" s="72"/>
      <c r="AU125" s="72"/>
      <c r="AV125" s="72"/>
      <c r="AW125" s="72"/>
      <c r="AX125" s="72"/>
      <c r="DG125" s="34"/>
      <c r="DH125" s="34"/>
      <c r="DI125" s="71">
        <f>TRUNC(DI126/10)</f>
        <v>139</v>
      </c>
      <c r="DJ125" s="69">
        <f>TRUNC(RIGHT(DI125))</f>
        <v>9</v>
      </c>
      <c r="DK125" s="35">
        <f>DJ125</f>
        <v>9</v>
      </c>
      <c r="DL125" s="35"/>
      <c r="DM125" s="35">
        <f>IF(DJ125=1,DM141,IF(DJ125=2,DO133,IF(DJ125=3,DO134,IF(DJ125=4,DO135,IF(DJ125=5,DO136,IF(DJ125=6,DO137,IF(DJ125=7,DO138,IF(DJ125=8,DO139,DO140))))))))</f>
        <v>0</v>
      </c>
      <c r="DN125" s="35"/>
      <c r="DO125" s="35"/>
      <c r="DP125" s="68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</row>
    <row r="126" spans="45:139" s="33" customFormat="1" ht="12" customHeight="1">
      <c r="AS126" s="72"/>
      <c r="AT126" s="72"/>
      <c r="AU126" s="72"/>
      <c r="AV126" s="72"/>
      <c r="AW126" s="72"/>
      <c r="AX126" s="72"/>
      <c r="DG126" s="34"/>
      <c r="DH126" s="34"/>
      <c r="DI126" s="71">
        <f>TRUNC(DI127/10)</f>
        <v>1395</v>
      </c>
      <c r="DJ126" s="35">
        <f>TRUNC(RIGHT(DI126))</f>
        <v>5</v>
      </c>
      <c r="DK126" s="35">
        <f>IF(DJ126=1,"",DJ126)</f>
        <v>5</v>
      </c>
      <c r="DL126" s="35"/>
      <c r="DM126" s="70">
        <f>IF(OR(DK126=0,DJ126=1),"",IF(DK126=2,DM133,IF(DK126=3,DM134,IF(DK126=4,DM135,IF(DK126=5,DM136,IF(DK126=6,DM137,IF(DK126=7,DM138,IF(DK126=8,DM139,DM140))))))))</f>
        <v>0</v>
      </c>
      <c r="DN126" s="35"/>
      <c r="DO126" s="69"/>
      <c r="DP126" s="68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</row>
    <row r="127" spans="45:139" s="33" customFormat="1" ht="12" customHeight="1">
      <c r="AS127" s="72"/>
      <c r="AT127" s="72"/>
      <c r="AU127" s="72"/>
      <c r="AV127" s="72"/>
      <c r="AW127" s="72"/>
      <c r="AX127" s="72"/>
      <c r="DG127" s="34"/>
      <c r="DH127" s="34"/>
      <c r="DI127" s="71">
        <f>DM111</f>
        <v>13951</v>
      </c>
      <c r="DJ127" s="69">
        <f>TRUNC(RIGHT(DI127))</f>
        <v>1</v>
      </c>
      <c r="DK127" s="35">
        <f>IF(DJ126=1,DJ127+10,IF(DJ127=0,0,DJ127))</f>
        <v>1</v>
      </c>
      <c r="DL127" s="35">
        <f>IF(AND(DK127&gt;9,DK127&lt;16),IF(DK127=10,DL132,IF(DK127=11,DL133,IF(DK127=12,DL134,IF(DK127=13,DL135,IF(DK127=14,DL136,IF(DK127=15,DL137,)))))),"")</f>
      </c>
      <c r="DM127" s="70">
        <f>IF(DJ127=1,DI132,IF(DJ127=2,DI133,IF(DJ127=3,DI134,IF(DJ127=4,DI135,IF(DJ127=5,DI136,IF(DJ127=6,DI137,IF(DJ127=7,DI138,IF(DJ127=8,DI139,DI140))))))))</f>
        <v>0</v>
      </c>
      <c r="DN127" s="35">
        <f>IF(AND(DK127&gt;15,DK127&lt;20),IF(DK127=16,DL138,IF(DK127=17,DL139,IF(DK127=18,DL140,IF(DK127=19,DL141,)))),"")</f>
      </c>
      <c r="DO127" s="69"/>
      <c r="DP127" s="68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</row>
    <row r="128" spans="45:139" s="33" customFormat="1" ht="12" customHeight="1">
      <c r="AS128" s="72"/>
      <c r="AT128" s="72"/>
      <c r="AU128" s="72"/>
      <c r="AV128" s="72"/>
      <c r="AW128" s="72"/>
      <c r="AX128" s="72"/>
      <c r="DG128" s="34"/>
      <c r="DH128" s="34"/>
      <c r="DI128" s="71"/>
      <c r="DJ128" s="35"/>
      <c r="DK128" s="69"/>
      <c r="DL128" s="35"/>
      <c r="DM128" s="70">
        <f>DJ125*100+DJ126*10+DJ127</f>
        <v>951</v>
      </c>
      <c r="DN128" s="35" t="str">
        <f>IF(DM128+DM124+DM120+DM116=0,"ноль рублей ",IF(DK127=1,"рубль ",IF(OR(DK127=2,DK127=3,DK127=4),"рубля ","рублей ")))</f>
        <v>рубль </v>
      </c>
      <c r="DO128" s="69"/>
      <c r="DP128" s="68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</row>
    <row r="129" spans="45:139" s="33" customFormat="1" ht="12" customHeight="1">
      <c r="AS129" s="72"/>
      <c r="AT129" s="72"/>
      <c r="AU129" s="72"/>
      <c r="AV129" s="72"/>
      <c r="AW129" s="72"/>
      <c r="AX129" s="72"/>
      <c r="DG129" s="34"/>
      <c r="DH129" s="34"/>
      <c r="DI129" s="69">
        <f>ROUND(100*(DM100-DM111),0)</f>
        <v>93</v>
      </c>
      <c r="DJ129" s="35"/>
      <c r="DK129" s="69">
        <f>TRUNC(DI129/10)</f>
        <v>9</v>
      </c>
      <c r="DL129" s="35"/>
      <c r="DM129" s="70">
        <f>IF(OR(DK129=1,DK129=0),"",IF(DK129=2,DM133,IF(DK129=3,DM134,IF(DK129=4,DM135,IF(DK129=5,DM136,IF(DK129=6,DM137,IF(DK129=7,DM138,IF(DK129=8,DM139,DM140))))))))</f>
        <v>0</v>
      </c>
      <c r="DN129" s="35"/>
      <c r="DO129" s="35"/>
      <c r="DP129" s="68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</row>
    <row r="130" spans="45:139" s="33" customFormat="1" ht="12" customHeight="1">
      <c r="AS130" s="72"/>
      <c r="AT130" s="72"/>
      <c r="AU130" s="72"/>
      <c r="AV130" s="72"/>
      <c r="AW130" s="72"/>
      <c r="AX130" s="72"/>
      <c r="DG130" s="34"/>
      <c r="DH130" s="34"/>
      <c r="DI130" s="35"/>
      <c r="DJ130" s="35"/>
      <c r="DK130" s="69">
        <f>TRUNC(DI129-DK129*10)</f>
        <v>3</v>
      </c>
      <c r="DL130" s="35"/>
      <c r="DM130" s="70">
        <f>IF(DK130=1,DJ132,IF(DK130=2,DJ133,IF(DK130=3,DI134,IF(DK130=4,DI135,IF(DK130=5,DI136,IF(DK130=6,DI137,IF(DK130=7,DI138,IF(DK130=8,DI139,DI140))))))))</f>
        <v>0</v>
      </c>
      <c r="DN130" s="35"/>
      <c r="DO130" s="35"/>
      <c r="DP130" s="68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</row>
    <row r="131" spans="115:121" s="72" customFormat="1" ht="12" customHeight="1" hidden="1">
      <c r="DK131" s="106"/>
      <c r="DL131" s="106"/>
      <c r="DM131" s="106"/>
      <c r="DN131" s="106"/>
      <c r="DO131" s="106"/>
      <c r="DP131" s="106"/>
      <c r="DQ131" s="106"/>
    </row>
    <row r="132" s="72" customFormat="1" ht="12" customHeight="1" hidden="1"/>
    <row r="133" spans="38:68" s="107" customFormat="1" ht="12" customHeight="1" hidden="1">
      <c r="AL133" s="108"/>
      <c r="AM133" s="108"/>
      <c r="AN133" s="108"/>
      <c r="AO133" s="108">
        <f>IF(AP154&lt;64,0,IF(AO141&lt;=64,0,FIND(" ",AR155,64)))</f>
        <v>0</v>
      </c>
      <c r="AP133" s="108"/>
      <c r="AQ133" s="108"/>
      <c r="AR133" s="108"/>
      <c r="AS133" s="108"/>
      <c r="AT133" s="108"/>
      <c r="AU133" s="108"/>
      <c r="AV133" s="108"/>
      <c r="AW133" s="74"/>
      <c r="BK133" s="73"/>
      <c r="BL133" s="73"/>
      <c r="BM133" s="73"/>
      <c r="BN133" s="73"/>
      <c r="BO133" s="73"/>
      <c r="BP133" s="73"/>
    </row>
    <row r="134" spans="38:68" s="107" customFormat="1" ht="12" customHeight="1" hidden="1">
      <c r="AL134" s="108"/>
      <c r="AM134" s="108"/>
      <c r="AN134" s="108"/>
      <c r="AO134" s="108">
        <f>IF(AO138="","",IF(AO135&lt;=AO136,"",MID(AR155,AO136+1,43)))</f>
      </c>
      <c r="AP134" s="108"/>
      <c r="AQ134" s="108"/>
      <c r="AR134" s="108"/>
      <c r="AS134" s="108"/>
      <c r="AT134" s="108"/>
      <c r="AU134" s="108"/>
      <c r="AV134" s="108"/>
      <c r="AW134" s="74"/>
      <c r="BK134" s="73"/>
      <c r="BL134" s="73"/>
      <c r="BM134" s="73"/>
      <c r="BN134" s="73"/>
      <c r="BO134" s="73"/>
      <c r="BP134" s="73"/>
    </row>
    <row r="135" spans="38:68" s="107" customFormat="1" ht="12" customHeight="1" hidden="1">
      <c r="AL135" s="108"/>
      <c r="AM135" s="108"/>
      <c r="AN135" s="108"/>
      <c r="AO135" s="108">
        <f>LEN(AR155)</f>
        <v>42</v>
      </c>
      <c r="AP135" s="108"/>
      <c r="AQ135" s="108"/>
      <c r="AR135" s="108"/>
      <c r="AS135" s="108"/>
      <c r="AT135" s="108"/>
      <c r="AU135" s="108"/>
      <c r="AV135" s="108"/>
      <c r="AW135" s="74"/>
      <c r="BK135" s="73"/>
      <c r="BL135" s="73"/>
      <c r="BM135" s="73"/>
      <c r="BN135" s="73"/>
      <c r="BO135" s="73"/>
      <c r="BP135" s="73"/>
    </row>
    <row r="136" spans="38:68" s="107" customFormat="1" ht="12" customHeight="1" hidden="1">
      <c r="AL136" s="108"/>
      <c r="AM136" s="108"/>
      <c r="AN136" s="108"/>
      <c r="AO136" s="108">
        <f>LEN(AO140)+LEN(AO138)+1</f>
        <v>42</v>
      </c>
      <c r="AP136" s="108">
        <f>LEN(AO140)</f>
        <v>27</v>
      </c>
      <c r="AQ136" s="108"/>
      <c r="AR136" s="108"/>
      <c r="AS136" s="108"/>
      <c r="AT136" s="108"/>
      <c r="AU136" s="108"/>
      <c r="AV136" s="108"/>
      <c r="AW136" s="74"/>
      <c r="BK136" s="73"/>
      <c r="BL136" s="73"/>
      <c r="BM136" s="73"/>
      <c r="BN136" s="73"/>
      <c r="BO136" s="73"/>
      <c r="BP136" s="73"/>
    </row>
    <row r="137" spans="38:68" s="107" customFormat="1" ht="12" customHeight="1" hidden="1">
      <c r="AL137" s="108"/>
      <c r="AM137" s="108"/>
      <c r="AN137" s="108"/>
      <c r="AO137" s="108">
        <f>AO136-AO139</f>
        <v>14</v>
      </c>
      <c r="AP137" s="109"/>
      <c r="AQ137" s="108"/>
      <c r="AR137" s="108" t="s">
        <v>105</v>
      </c>
      <c r="AS137" s="108"/>
      <c r="AT137" s="108"/>
      <c r="AU137" s="108"/>
      <c r="AV137" s="108"/>
      <c r="AW137" s="74"/>
      <c r="BK137" s="73"/>
      <c r="BL137" s="73"/>
      <c r="BM137" s="73"/>
      <c r="BN137" s="73"/>
      <c r="BO137" s="73"/>
      <c r="BP137" s="73"/>
    </row>
    <row r="138" spans="38:68" s="107" customFormat="1" ht="12" customHeight="1" hidden="1">
      <c r="AL138" s="108"/>
      <c r="AM138" s="108">
        <f>IF(AM141&lt;=AM142,"",MID(AR155,AM139+1,100))</f>
      </c>
      <c r="AN138" s="108"/>
      <c r="AO138" s="108" t="str">
        <f>IF(AO141&lt;=AO142,"",IF(AO133=0,MID(AR155,AO139+1,39),MID(AR155,AO139+1,AO133-AO139)))</f>
        <v>пятьдесят один</v>
      </c>
      <c r="AP138" s="109"/>
      <c r="AQ138" s="108"/>
      <c r="AR138" s="110">
        <f>INT(AS138)</f>
        <v>13951</v>
      </c>
      <c r="AS138" s="110">
        <f>ROUND(Z42,2)</f>
        <v>13951.93</v>
      </c>
      <c r="AT138" s="108"/>
      <c r="AU138" s="108"/>
      <c r="AV138" s="108"/>
      <c r="AW138" s="74"/>
      <c r="BK138" s="73"/>
      <c r="BL138" s="73"/>
      <c r="BM138" s="73"/>
      <c r="BN138" s="73"/>
      <c r="BO138" s="73"/>
      <c r="BP138" s="73"/>
    </row>
    <row r="139" spans="38:68" s="107" customFormat="1" ht="12" customHeight="1" hidden="1">
      <c r="AL139" s="108"/>
      <c r="AM139" s="108" t="e">
        <f>FIND(" ",AR155,45)</f>
        <v>#VALUE!</v>
      </c>
      <c r="AN139" s="108"/>
      <c r="AO139" s="108">
        <f>FIND(" ",AR155,25)</f>
        <v>28</v>
      </c>
      <c r="AP139" s="108"/>
      <c r="AQ139" s="108">
        <v>1</v>
      </c>
      <c r="AR139" s="111">
        <f>AR138-INT(AR138/10)*10</f>
        <v>1</v>
      </c>
      <c r="AS139" s="112">
        <f>ROUND((AS138-AR138)*100,0)</f>
        <v>93</v>
      </c>
      <c r="AT139" s="108"/>
      <c r="AU139" s="108"/>
      <c r="AV139" s="108"/>
      <c r="AW139" s="74"/>
      <c r="BK139" s="73"/>
      <c r="BL139" s="73"/>
      <c r="BM139" s="73"/>
      <c r="BN139" s="73"/>
      <c r="BO139" s="73"/>
      <c r="BP139" s="73"/>
    </row>
    <row r="140" spans="38:68" s="107" customFormat="1" ht="12" customHeight="1" hidden="1">
      <c r="AL140" s="108"/>
      <c r="AM140" s="108" t="str">
        <f>IF(AM141&gt;AM142,LEFT(AR155,AM139-1),LEFT(AR155,50))</f>
        <v> Тринадцать тысяч девятьсот пятьдесят один</v>
      </c>
      <c r="AN140" s="108"/>
      <c r="AO140" s="108" t="str">
        <f>IF(AO141&gt;=AO142,LEFT(AR155,AO139-1),LEFT(AR155,30))</f>
        <v> Тринадцать тысяч девятьсот</v>
      </c>
      <c r="AP140" s="108"/>
      <c r="AQ140" s="108">
        <v>2</v>
      </c>
      <c r="AR140" s="113">
        <f>IF(AND(AR139+AR141&gt;=11,AR139+AR141&lt;=19),AR139+AR141,0)</f>
        <v>0</v>
      </c>
      <c r="AS140" s="113">
        <f>INT(AS139)</f>
        <v>93</v>
      </c>
      <c r="AT140" s="108"/>
      <c r="AU140" s="108"/>
      <c r="AV140" s="108"/>
      <c r="AW140" s="74"/>
      <c r="BK140" s="73"/>
      <c r="BL140" s="73"/>
      <c r="BM140" s="73"/>
      <c r="BN140" s="73"/>
      <c r="BO140" s="73"/>
      <c r="BP140" s="73"/>
    </row>
    <row r="141" spans="38:68" s="107" customFormat="1" ht="12" customHeight="1" hidden="1">
      <c r="AL141" s="108"/>
      <c r="AM141" s="108">
        <f>LEN(AR155)</f>
        <v>42</v>
      </c>
      <c r="AN141" s="108"/>
      <c r="AO141" s="108">
        <f>LEN(AR155)</f>
        <v>42</v>
      </c>
      <c r="AP141" s="109"/>
      <c r="AQ141" s="108">
        <v>3</v>
      </c>
      <c r="AR141" s="113">
        <f>AR138-INT(AR138/100)*100-AR139</f>
        <v>50</v>
      </c>
      <c r="AS141" s="113">
        <f>IF(AS140=0,"",AS140-INT(AS140/10)*10)</f>
        <v>3</v>
      </c>
      <c r="AT141" s="108"/>
      <c r="AU141" s="108"/>
      <c r="AV141" s="108"/>
      <c r="AW141" s="74"/>
      <c r="BK141" s="73"/>
      <c r="BL141" s="73"/>
      <c r="BM141" s="73"/>
      <c r="BN141" s="73"/>
      <c r="BO141" s="73"/>
      <c r="BP141" s="73"/>
    </row>
    <row r="142" spans="38:68" s="107" customFormat="1" ht="12" customHeight="1" hidden="1">
      <c r="AL142" s="108"/>
      <c r="AM142" s="108">
        <v>50</v>
      </c>
      <c r="AN142" s="108"/>
      <c r="AO142" s="108">
        <v>30</v>
      </c>
      <c r="AP142" s="109"/>
      <c r="AQ142" s="108">
        <v>4</v>
      </c>
      <c r="AR142" s="113">
        <f>AR138-INT(AR138/1000)*1000-AR141-AR139</f>
        <v>900</v>
      </c>
      <c r="AS142" s="114">
        <f>IF(AS140=0,"",AS140)</f>
        <v>93</v>
      </c>
      <c r="AT142" s="108">
        <v>0</v>
      </c>
      <c r="AU142" s="108" t="s">
        <v>72</v>
      </c>
      <c r="AV142" s="108"/>
      <c r="AW142" s="74"/>
      <c r="BK142" s="73"/>
      <c r="BL142" s="73"/>
      <c r="BM142" s="73"/>
      <c r="BN142" s="73"/>
      <c r="BO142" s="73"/>
      <c r="BP142" s="73"/>
    </row>
    <row r="143" spans="38:68" s="107" customFormat="1" ht="12" customHeight="1" hidden="1">
      <c r="AL143" s="108"/>
      <c r="AM143" s="108"/>
      <c r="AN143" s="108"/>
      <c r="AO143" s="108"/>
      <c r="AP143" s="108"/>
      <c r="AQ143" s="108">
        <v>5</v>
      </c>
      <c r="AR143" s="113">
        <f>AR138-INT(AR138/10000)*10000-AR141-AR139-AR142</f>
        <v>3000</v>
      </c>
      <c r="AS143" s="108">
        <f>AR143/1000</f>
        <v>3</v>
      </c>
      <c r="AT143" s="108"/>
      <c r="AU143" s="108"/>
      <c r="AV143" s="108"/>
      <c r="AW143" s="74"/>
      <c r="BK143" s="73"/>
      <c r="BL143" s="73"/>
      <c r="BM143" s="73"/>
      <c r="BN143" s="73"/>
      <c r="BO143" s="73"/>
      <c r="BP143" s="73"/>
    </row>
    <row r="144" spans="38:68" s="107" customFormat="1" ht="12" customHeight="1" hidden="1">
      <c r="AL144" s="108"/>
      <c r="AM144" s="108"/>
      <c r="AN144" s="108"/>
      <c r="AO144" s="108"/>
      <c r="AP144" s="108"/>
      <c r="AQ144" s="108">
        <v>6</v>
      </c>
      <c r="AR144" s="108"/>
      <c r="AS144" s="113">
        <f>IF(AND(AS143+AS145&gt;=11,AS143+AS145&lt;=19),AS143+AS145,0)</f>
        <v>13</v>
      </c>
      <c r="AT144" s="108"/>
      <c r="AU144" s="108"/>
      <c r="AV144" s="108"/>
      <c r="AW144" s="74"/>
      <c r="BK144" s="73"/>
      <c r="BL144" s="73"/>
      <c r="BM144" s="73"/>
      <c r="BN144" s="73"/>
      <c r="BO144" s="73"/>
      <c r="BP144" s="73"/>
    </row>
    <row r="145" spans="38:68" s="107" customFormat="1" ht="12" customHeight="1" hidden="1">
      <c r="AL145" s="108"/>
      <c r="AM145" s="108"/>
      <c r="AN145" s="108"/>
      <c r="AO145" s="108"/>
      <c r="AP145" s="108"/>
      <c r="AQ145" s="108">
        <v>7</v>
      </c>
      <c r="AR145" s="113">
        <f>AR138-INT(AR138/100000)*100000-AR141-AR139-AR142-AR143</f>
        <v>10000</v>
      </c>
      <c r="AS145" s="108">
        <f>AR145/1000</f>
        <v>10</v>
      </c>
      <c r="AT145" s="108"/>
      <c r="AU145" s="108"/>
      <c r="AV145" s="108"/>
      <c r="AW145" s="74"/>
      <c r="BK145" s="73"/>
      <c r="BL145" s="73"/>
      <c r="BM145" s="73"/>
      <c r="BN145" s="73"/>
      <c r="BO145" s="73"/>
      <c r="BP145" s="73"/>
    </row>
    <row r="146" spans="38:68" s="107" customFormat="1" ht="12" customHeight="1" hidden="1">
      <c r="AL146" s="108"/>
      <c r="AM146" s="108"/>
      <c r="AN146" s="108"/>
      <c r="AO146" s="108"/>
      <c r="AP146" s="108"/>
      <c r="AQ146" s="108">
        <v>8</v>
      </c>
      <c r="AR146" s="113">
        <f>AR138-INT(AR138/1000000)*1000000-AR141-AR139-AR142-AR143-AR145</f>
        <v>0</v>
      </c>
      <c r="AS146" s="108">
        <f>AR146/1000</f>
        <v>0</v>
      </c>
      <c r="AT146" s="108"/>
      <c r="AU146" s="108"/>
      <c r="AV146" s="108"/>
      <c r="AW146" s="74"/>
      <c r="BK146" s="73"/>
      <c r="BL146" s="73"/>
      <c r="BM146" s="73"/>
      <c r="BN146" s="73"/>
      <c r="BO146" s="73"/>
      <c r="BP146" s="73"/>
    </row>
    <row r="147" spans="38:68" s="107" customFormat="1" ht="12" customHeight="1" hidden="1">
      <c r="AL147" s="108"/>
      <c r="AM147" s="108"/>
      <c r="AN147" s="108"/>
      <c r="AO147" s="108"/>
      <c r="AP147" s="108"/>
      <c r="AQ147" s="108">
        <v>9</v>
      </c>
      <c r="AR147" s="113">
        <f>AR138-INT(AR138/10000000)*10000000-AR141-AR139-AR142-AR143-AR145-AR146</f>
        <v>0</v>
      </c>
      <c r="AS147" s="108">
        <f>AR147/1000000</f>
        <v>0</v>
      </c>
      <c r="AT147" s="108"/>
      <c r="AU147" s="108"/>
      <c r="AV147" s="108"/>
      <c r="AW147" s="74"/>
      <c r="BK147" s="73"/>
      <c r="BL147" s="73"/>
      <c r="BM147" s="73"/>
      <c r="BN147" s="73"/>
      <c r="BO147" s="73"/>
      <c r="BP147" s="73"/>
    </row>
    <row r="148" spans="38:68" s="107" customFormat="1" ht="12" customHeight="1" hidden="1">
      <c r="AL148" s="108"/>
      <c r="AM148" s="108"/>
      <c r="AN148" s="108"/>
      <c r="AO148" s="108"/>
      <c r="AP148" s="108"/>
      <c r="AQ148" s="108">
        <v>10</v>
      </c>
      <c r="AR148" s="108"/>
      <c r="AS148" s="113">
        <f>IF(AND(AS147+AS149&gt;=11,AS147+AS149&lt;=19),AS147+AS149,0)</f>
        <v>0</v>
      </c>
      <c r="AT148" s="108"/>
      <c r="AU148" s="108"/>
      <c r="AV148" s="108"/>
      <c r="AW148" s="74"/>
      <c r="BK148" s="73"/>
      <c r="BL148" s="73"/>
      <c r="BM148" s="73"/>
      <c r="BN148" s="73"/>
      <c r="BO148" s="73"/>
      <c r="BP148" s="73"/>
    </row>
    <row r="149" spans="38:68" s="107" customFormat="1" ht="12" customHeight="1" hidden="1">
      <c r="AL149" s="108"/>
      <c r="AM149" s="108"/>
      <c r="AN149" s="108"/>
      <c r="AO149" s="108"/>
      <c r="AP149" s="108"/>
      <c r="AQ149" s="108">
        <v>11</v>
      </c>
      <c r="AR149" s="113">
        <f>AR138-INT(AR138/100000000)*100000000-AR141-AR139-AR142-AR143-AR145-AR146-AR147</f>
        <v>0</v>
      </c>
      <c r="AS149" s="108">
        <f>AR149/1000000</f>
        <v>0</v>
      </c>
      <c r="AT149" s="108"/>
      <c r="AU149" s="108"/>
      <c r="AV149" s="108"/>
      <c r="AW149" s="74"/>
      <c r="BK149" s="73"/>
      <c r="BL149" s="73"/>
      <c r="BM149" s="73"/>
      <c r="BN149" s="73"/>
      <c r="BO149" s="73"/>
      <c r="BP149" s="73"/>
    </row>
    <row r="150" spans="38:68" s="107" customFormat="1" ht="12" customHeight="1" hidden="1">
      <c r="AL150" s="108"/>
      <c r="AM150" s="108"/>
      <c r="AN150" s="108"/>
      <c r="AO150" s="108"/>
      <c r="AP150" s="108"/>
      <c r="AQ150" s="108">
        <v>12</v>
      </c>
      <c r="AR150" s="113">
        <f>AR138-INT(AR138/1000000000)*1000000000-AR141-AR139-AR142-AR143-AR145-AR146-AR147-AR149</f>
        <v>0</v>
      </c>
      <c r="AS150" s="108">
        <f>AR150/1000000</f>
        <v>0</v>
      </c>
      <c r="AT150" s="108"/>
      <c r="AU150" s="108"/>
      <c r="AV150" s="108"/>
      <c r="AW150" s="74"/>
      <c r="BK150" s="73"/>
      <c r="BL150" s="73"/>
      <c r="BM150" s="73"/>
      <c r="BN150" s="73"/>
      <c r="BO150" s="73"/>
      <c r="BP150" s="73"/>
    </row>
    <row r="151" spans="38:68" s="107" customFormat="1" ht="12" customHeight="1" hidden="1">
      <c r="AL151" s="108"/>
      <c r="AM151" s="108"/>
      <c r="AN151" s="108"/>
      <c r="AO151" s="108"/>
      <c r="AP151" s="108"/>
      <c r="AQ151" s="108">
        <v>13</v>
      </c>
      <c r="AR151" s="113">
        <f>AR138-INT(AR138/10000000000)*10000000000-AR141-AR139-AR142-AR143-AR145-AR146-AR147-AR149-AR150</f>
        <v>0</v>
      </c>
      <c r="AS151" s="108">
        <f>AR151/1000000000</f>
        <v>0</v>
      </c>
      <c r="AT151" s="108"/>
      <c r="AU151" s="108"/>
      <c r="AV151" s="108"/>
      <c r="AW151" s="74"/>
      <c r="BK151" s="73"/>
      <c r="BL151" s="73"/>
      <c r="BM151" s="73"/>
      <c r="BN151" s="73"/>
      <c r="BO151" s="73"/>
      <c r="BP151" s="73"/>
    </row>
    <row r="152" spans="38:68" s="107" customFormat="1" ht="12" customHeight="1" hidden="1">
      <c r="AL152" s="108"/>
      <c r="AM152" s="108"/>
      <c r="AN152" s="108"/>
      <c r="AO152" s="108"/>
      <c r="AP152" s="108"/>
      <c r="AQ152" s="108">
        <v>14</v>
      </c>
      <c r="AR152" s="113"/>
      <c r="AS152" s="113">
        <f>IF(AND(AS151+AS153&gt;=11,AS151+AS153&lt;=19),AS151+AS153,0)</f>
        <v>0</v>
      </c>
      <c r="AT152" s="108"/>
      <c r="AU152" s="108"/>
      <c r="AV152" s="108"/>
      <c r="AW152" s="74"/>
      <c r="BK152" s="73"/>
      <c r="BL152" s="73"/>
      <c r="BM152" s="73"/>
      <c r="BN152" s="73"/>
      <c r="BO152" s="73"/>
      <c r="BP152" s="73"/>
    </row>
    <row r="153" spans="38:68" s="107" customFormat="1" ht="12" customHeight="1" hidden="1">
      <c r="AL153" s="108"/>
      <c r="AM153" s="108"/>
      <c r="AN153" s="108"/>
      <c r="AO153" s="108"/>
      <c r="AP153" s="108"/>
      <c r="AQ153" s="108">
        <v>15</v>
      </c>
      <c r="AR153" s="113">
        <f>AR138-INT(AR138/100000000000)*100000000000-AR141-AR139-AR142-AR143-AR145-AR146-AR147-AR149-AR150-AR151</f>
        <v>0</v>
      </c>
      <c r="AS153" s="108">
        <f>AR153/1000000000</f>
        <v>0</v>
      </c>
      <c r="AT153" s="108"/>
      <c r="AU153" s="108"/>
      <c r="AV153" s="108"/>
      <c r="AW153" s="74"/>
      <c r="BK153" s="73"/>
      <c r="BL153" s="73"/>
      <c r="BM153" s="73"/>
      <c r="BN153" s="73"/>
      <c r="BO153" s="73"/>
      <c r="BP153" s="73"/>
    </row>
    <row r="154" spans="38:68" s="107" customFormat="1" ht="12" customHeight="1" hidden="1">
      <c r="AL154" s="108"/>
      <c r="AM154" s="108"/>
      <c r="AN154" s="108"/>
      <c r="AO154" s="108"/>
      <c r="AP154" s="108">
        <f>SEARCH("@",SUBSTITUTE(AR155," ","@",LEN(AR155)-LEN(SUBSTITUTE(AR155," ",""))))</f>
        <v>38</v>
      </c>
      <c r="AQ154" s="108">
        <v>16</v>
      </c>
      <c r="AR154" s="113">
        <f>AR138-INT(AR138/1000000000000)*1000000000000-AR141-AR139-AR142-AR143-AR145-AR146-AR147-AR149-AR150-AR151-AR153</f>
        <v>0</v>
      </c>
      <c r="AS154" s="108">
        <f>AR154/1000000000</f>
        <v>0</v>
      </c>
      <c r="AT154" s="108"/>
      <c r="AU154" s="108"/>
      <c r="AV154" s="108"/>
      <c r="AW154" s="74"/>
      <c r="BK154" s="73"/>
      <c r="BL154" s="73"/>
      <c r="BM154" s="73"/>
      <c r="BN154" s="73"/>
      <c r="BO154" s="73"/>
      <c r="BP154" s="73"/>
    </row>
    <row r="155" spans="38:68" s="107" customFormat="1" ht="12" customHeight="1" hidden="1">
      <c r="AL155" s="108"/>
      <c r="AM155" s="108"/>
      <c r="AN155" s="108"/>
      <c r="AO155" s="108"/>
      <c r="AP155" s="108"/>
      <c r="AQ155" s="108"/>
      <c r="AR155" s="115" t="str">
        <f>IF(AS138=0,"",AP171&amp;AP170&amp;AP169&amp;AP168&amp;AU168&amp;AP167&amp;AP166&amp;AP165&amp;AP164&amp;AU164&amp;AP163&amp;AP162&amp;AP161&amp;AP160&amp;AU160&amp;AP159&amp;AP158&amp;AP157&amp;AP156)</f>
        <v> Тринадцать тысяч девятьсот пятьдесят один</v>
      </c>
      <c r="AS155" s="108"/>
      <c r="AT155" s="108"/>
      <c r="AU155" s="108"/>
      <c r="AV155" s="108"/>
      <c r="AW155" s="74"/>
      <c r="BK155" s="73"/>
      <c r="BL155" s="73"/>
      <c r="BM155" s="73"/>
      <c r="BN155" s="73"/>
      <c r="BO155" s="73"/>
      <c r="BP155" s="73"/>
    </row>
    <row r="156" spans="38:68" s="107" customFormat="1" ht="12" customHeight="1" hidden="1">
      <c r="AL156" s="108" t="s">
        <v>73</v>
      </c>
      <c r="AM156" s="116" t="str">
        <f>IF(AR140&gt;0,"",IF(AR139=1,AN156,""))</f>
        <v> белорусский рубль </v>
      </c>
      <c r="AN156" s="117" t="s">
        <v>74</v>
      </c>
      <c r="AO156" s="108"/>
      <c r="AP156" s="108" t="str">
        <f>IF(SUM(AR140:AR154)=0,PROPER(AR156),AR156)</f>
        <v> один</v>
      </c>
      <c r="AQ156" s="108">
        <v>1</v>
      </c>
      <c r="AR156" s="115" t="str">
        <f>IF(AND(AR140&lt;20,AR140&gt;10),"",AS156&amp;AT156)</f>
        <v> один</v>
      </c>
      <c r="AS156" s="108" t="str">
        <f>IF(AR139=1," один",IF(AR139=2," два",IF(AR139=3," три",IF(AR139=4," четыре",IF(AR139=5," пять",IF(AR139=6," шесть",IF(AR139=7," семь","")))))))</f>
        <v> один</v>
      </c>
      <c r="AT156" s="108">
        <f>IF(AR139=8," восемь",IF(AR139=9," девять",""))</f>
      </c>
      <c r="AU156" s="108"/>
      <c r="AV156" s="108"/>
      <c r="AW156" s="74"/>
      <c r="BK156" s="73"/>
      <c r="BL156" s="73"/>
      <c r="BM156" s="73"/>
      <c r="BN156" s="73"/>
      <c r="BO156" s="73"/>
      <c r="BP156" s="73"/>
    </row>
    <row r="157" spans="38:68" s="107" customFormat="1" ht="12" customHeight="1" hidden="1">
      <c r="AL157" s="108" t="s">
        <v>75</v>
      </c>
      <c r="AM157" s="118">
        <f>IF(AR140&gt;0,"",IF(OR(AR139=2,AR139=3,AR139=4),AN157,""))</f>
      </c>
      <c r="AN157" s="119" t="s">
        <v>76</v>
      </c>
      <c r="AO157" s="108"/>
      <c r="AP157" s="108">
        <f>IF(SUM(AR142:AR154)=0,PROPER(AR157),AR157)</f>
      </c>
      <c r="AQ157" s="108">
        <v>2</v>
      </c>
      <c r="AR157" s="115">
        <f>AS157&amp;AT157</f>
      </c>
      <c r="AS157" s="108">
        <f>IF(AR140=11," одиннадцать",IF(AR140=12," двенадцать",IF(AR140=13," тринадцать",IF(AR140=14," четырнадцать",IF(AR140=15," пятнадцать",IF(AR140=16," шестнадцать",IF(AR140=17," семнадцать","")))))))</f>
      </c>
      <c r="AT157" s="108">
        <f>IF(AR140=18," восемнадцать",IF(AR140=19," девятнадцать",""))</f>
      </c>
      <c r="AU157" s="108"/>
      <c r="AV157" s="108"/>
      <c r="AW157" s="74"/>
      <c r="BK157" s="73"/>
      <c r="BL157" s="73"/>
      <c r="BM157" s="73"/>
      <c r="BN157" s="73"/>
      <c r="BO157" s="73"/>
      <c r="BP157" s="73"/>
    </row>
    <row r="158" spans="38:68" s="107" customFormat="1" ht="12" customHeight="1" hidden="1">
      <c r="AL158" s="108" t="s">
        <v>77</v>
      </c>
      <c r="AM158" s="118">
        <f>IF(AR140&gt;0,"",IF(OR(AR139=0,AR139=5,AR139=6,AR139=7,AR139=8,AR139=9),AN158,""))</f>
      </c>
      <c r="AN158" s="119" t="s">
        <v>78</v>
      </c>
      <c r="AO158" s="108"/>
      <c r="AP158" s="108" t="str">
        <f>IF(SUM(AR142:AR154)=0,PROPER(AR158),AR158)</f>
        <v> пятьдесят</v>
      </c>
      <c r="AQ158" s="108">
        <v>3</v>
      </c>
      <c r="AR158" s="115" t="str">
        <f>IF(AND(AR140&lt;20,AR140&gt;10),"",AS158&amp;AT158)</f>
        <v> пятьдесят</v>
      </c>
      <c r="AS158" s="108" t="str">
        <f>IF(AR141=10," десять",IF(AR141=20," двадцать",IF(AR141=30," тридцать",IF(AR141=40," сорок",IF(AR141=50," пятьдесят",IF(AR141=60," шестьдесят",""))))))</f>
        <v> пятьдесят</v>
      </c>
      <c r="AT158" s="108">
        <f>IF(AR141=70," семьдесят",IF(AR141=80," восемьдесят",IF(AR141=90," девяносто","")))</f>
      </c>
      <c r="AU158" s="108"/>
      <c r="AV158" s="108"/>
      <c r="AW158" s="74"/>
      <c r="BK158" s="73"/>
      <c r="BL158" s="73"/>
      <c r="BM158" s="73"/>
      <c r="BN158" s="73"/>
      <c r="BO158" s="73"/>
      <c r="BP158" s="73"/>
    </row>
    <row r="159" spans="38:68" s="107" customFormat="1" ht="12" customHeight="1" hidden="1">
      <c r="AL159" s="108"/>
      <c r="AM159" s="108">
        <f>IF(AND(AR140&gt;=11,AR140&lt;=19),AN158,"")</f>
      </c>
      <c r="AN159" s="119"/>
      <c r="AO159" s="108"/>
      <c r="AP159" s="108" t="str">
        <f>IF(SUM(AS143:AS154)=0,PROPER(AR159),AR159)</f>
        <v> девятьсот</v>
      </c>
      <c r="AQ159" s="108">
        <v>4</v>
      </c>
      <c r="AR159" s="115" t="str">
        <f>AS159&amp;AT159</f>
        <v> девятьсот</v>
      </c>
      <c r="AS159" s="108">
        <f>IF(AR142=100," сто",IF(AR142=200," двести",IF(AR142=300," триста",IF(AR142=400," четыреста",IF(AR142=500," пятьсот",IF(AR142=600," шестьсот",""))))))</f>
      </c>
      <c r="AT159" s="108" t="str">
        <f>IF(AR142=700," семьсот",IF(AR142=800," восемьсот",IF(AR142=900," девятьсот","")))</f>
        <v> девятьсот</v>
      </c>
      <c r="AU159" s="108"/>
      <c r="AV159" s="108"/>
      <c r="AW159" s="74"/>
      <c r="BK159" s="73"/>
      <c r="BL159" s="73"/>
      <c r="BM159" s="73"/>
      <c r="BN159" s="73"/>
      <c r="BO159" s="73"/>
      <c r="BP159" s="73"/>
    </row>
    <row r="160" spans="38:68" s="107" customFormat="1" ht="12" customHeight="1" hidden="1">
      <c r="AL160" s="108"/>
      <c r="AM160" s="117" t="str">
        <f>AM156&amp;AM157&amp;AM158&amp;AM159</f>
        <v> белорусский рубль </v>
      </c>
      <c r="AN160" s="117"/>
      <c r="AO160" s="108"/>
      <c r="AP160" s="108">
        <f>IF(SUM(AS144:AS154)=0,PROPER(AR160),AR160)</f>
      </c>
      <c r="AQ160" s="108">
        <v>5</v>
      </c>
      <c r="AR160" s="115">
        <f>IF(AND(AS144&lt;20,AS144&gt;10),"",AS160&amp;AT160)</f>
      </c>
      <c r="AS160" s="108" t="str">
        <f>IF(AS143=1," одна",IF(AS143=2," две",IF(AS143=3," три",IF(AS143=4," четыре",IF(AS143=5," пять",IF(AS143=6," шесть",IF(AS143=7," семь","")))))))</f>
        <v> три</v>
      </c>
      <c r="AT160" s="108">
        <f>IF(AS143=8," восемь",IF(AS143=9," девять",""))</f>
      </c>
      <c r="AU160" s="108" t="str">
        <f>IF(AND(AR160="",AR161="",AR162="",AR163=""),"",IF(AND(AS144&lt;20,AS144&gt;10)," тысяч",IF(AS143=1," тысяча",IF(OR(AS143=2,AS143=3,AS143=4)," тысячи"," тысяч"))))</f>
        <v> тысяч</v>
      </c>
      <c r="AV160" s="108"/>
      <c r="AW160" s="74"/>
      <c r="BK160" s="73"/>
      <c r="BL160" s="73"/>
      <c r="BM160" s="73"/>
      <c r="BN160" s="73"/>
      <c r="BO160" s="73"/>
      <c r="BP160" s="73"/>
    </row>
    <row r="161" spans="38:68" s="107" customFormat="1" ht="12" customHeight="1" hidden="1">
      <c r="AL161" s="108"/>
      <c r="AM161" s="116"/>
      <c r="AN161" s="117"/>
      <c r="AO161" s="108"/>
      <c r="AP161" s="108" t="str">
        <f>IF(SUM(AS146:AS154)=0,PROPER(AR161),AR161)</f>
        <v> Тринадцать</v>
      </c>
      <c r="AQ161" s="108">
        <v>6</v>
      </c>
      <c r="AR161" s="115" t="str">
        <f>AS161&amp;AT161</f>
        <v> тринадцать</v>
      </c>
      <c r="AS161" s="108" t="str">
        <f>IF(AS144=11," одиннадцать",IF(AS144=12," двенадцать",IF(AS144=13," тринадцать",IF(AS144=14," четырнадцать",IF(AS144=15," пятнадцать",IF(AS144=16," шестнадцать",IF(AS144=17," семнадцать","")))))))</f>
        <v> тринадцать</v>
      </c>
      <c r="AT161" s="108">
        <f>IF(AS144=18," восемнадцать",IF(AS144=19," девятнадцать",""))</f>
      </c>
      <c r="AU161" s="108"/>
      <c r="AV161" s="108"/>
      <c r="AW161" s="74"/>
      <c r="BK161" s="73"/>
      <c r="BL161" s="73"/>
      <c r="BM161" s="73"/>
      <c r="BN161" s="73"/>
      <c r="BO161" s="73"/>
      <c r="BP161" s="73"/>
    </row>
    <row r="162" spans="38:68" s="107" customFormat="1" ht="12" customHeight="1" hidden="1">
      <c r="AL162" s="108"/>
      <c r="AM162" s="108"/>
      <c r="AN162" s="108"/>
      <c r="AO162" s="108"/>
      <c r="AP162" s="108">
        <f>IF(SUM(AS146:AS154)=0,PROPER(AR162),AR162)</f>
      </c>
      <c r="AQ162" s="108">
        <v>7</v>
      </c>
      <c r="AR162" s="115">
        <f>IF(AND(AS144&lt;20,AS144&gt;10),"",AS162&amp;AT162)</f>
      </c>
      <c r="AS162" s="108" t="str">
        <f>IF(AS145=10," десять",IF(AS145=20," двадцать",IF(AS145=30," тридцать",IF(AS145=40," сорок",IF(AS145=50," пятьдесят",IF(AS145=60," шестьдесят",""))))))</f>
        <v> десять</v>
      </c>
      <c r="AT162" s="108">
        <f>IF(AS145=70," семьдесят",IF(AS145=80," восемьдесят",IF(AS145=90," девяносто","")))</f>
      </c>
      <c r="AU162" s="108"/>
      <c r="AV162" s="108"/>
      <c r="AW162" s="74"/>
      <c r="BK162" s="73"/>
      <c r="BL162" s="73"/>
      <c r="BM162" s="73"/>
      <c r="BN162" s="73"/>
      <c r="BO162" s="73"/>
      <c r="BP162" s="73"/>
    </row>
    <row r="163" spans="38:68" s="107" customFormat="1" ht="12" customHeight="1" hidden="1">
      <c r="AL163" s="108"/>
      <c r="AM163" s="108"/>
      <c r="AN163" s="108"/>
      <c r="AO163" s="108"/>
      <c r="AP163" s="108">
        <f>IF(SUM(AS147:AS154)=0,PROPER(AR163),AR163)</f>
      </c>
      <c r="AQ163" s="108">
        <v>8</v>
      </c>
      <c r="AR163" s="115">
        <f>AS163&amp;AT163</f>
      </c>
      <c r="AS163" s="108">
        <f>IF(AS146=100," сто",IF(AS146=200," двести",IF(AS146=300," триста",IF(AS146=400," четыреста",IF(AS146=500," пятьсот",IF(AS146=600," шестьсот",""))))))</f>
      </c>
      <c r="AT163" s="108">
        <f>IF(AS146=700," семьсот",IF(AS146=800," восемьсот",IF(AS146=900," девятьсот","")))</f>
      </c>
      <c r="AU163" s="108"/>
      <c r="AV163" s="108"/>
      <c r="AW163" s="74"/>
      <c r="BK163" s="73"/>
      <c r="BL163" s="73"/>
      <c r="BM163" s="73"/>
      <c r="BN163" s="73"/>
      <c r="BO163" s="73"/>
      <c r="BP163" s="73"/>
    </row>
    <row r="164" spans="38:68" s="107" customFormat="1" ht="12" customHeight="1" hidden="1">
      <c r="AL164" s="108"/>
      <c r="AM164" s="108"/>
      <c r="AN164" s="108"/>
      <c r="AO164" s="108"/>
      <c r="AP164" s="108">
        <f>IF(SUM(AS148:AS154)=0,PROPER(AR164),AR164)</f>
      </c>
      <c r="AQ164" s="108">
        <v>9</v>
      </c>
      <c r="AR164" s="115">
        <f>IF(AND(AS148&lt;20,AS148&gt;10),"",AS164&amp;AT164)</f>
      </c>
      <c r="AS164" s="108">
        <f>IF(AS147=1," один",IF(AS147=2," два",IF(AS147=3," три",IF(AS147=4," четыре",IF(AS147=5," пять",IF(AS147=6," шесть",IF(AS147=7," семь","")))))))</f>
      </c>
      <c r="AT164" s="108">
        <f>IF(AS147=8," восемь",IF(AS147=9," девять",""))</f>
      </c>
      <c r="AU164" s="108">
        <f>IF(AND(AR164="",AR165="",AR166="",AR167=""),"",IF(AND(AS148&lt;20,AS148&gt;10)," миллионов",IF(AS147=1," миллион",IF(OR(AS147=2,AS147=3,AS147=4)," миллиона"," миллионов"))))</f>
      </c>
      <c r="AV164" s="108"/>
      <c r="AW164" s="74"/>
      <c r="BK164" s="73"/>
      <c r="BL164" s="73"/>
      <c r="BM164" s="73"/>
      <c r="BN164" s="73"/>
      <c r="BO164" s="73"/>
      <c r="BP164" s="73"/>
    </row>
    <row r="165" spans="38:68" s="107" customFormat="1" ht="12" customHeight="1" hidden="1">
      <c r="AL165" s="108"/>
      <c r="AM165" s="108"/>
      <c r="AN165" s="108"/>
      <c r="AO165" s="108"/>
      <c r="AP165" s="108">
        <f>IF(SUM(AS150:AS154)=0,PROPER(AR165),AR165)</f>
      </c>
      <c r="AQ165" s="108">
        <v>10</v>
      </c>
      <c r="AR165" s="115">
        <f>AS165&amp;AT165</f>
      </c>
      <c r="AS165" s="108">
        <f>IF(AS148=11," одиннадцать",IF(AS148=12," двенадцать",IF(AS148=13," тринадцать",IF(AS148=14," четырнадцать",IF(AS148=15," пятнадцать",IF(AS148=16," шестнадцать",IF(AS148=17," семнадцать","")))))))</f>
      </c>
      <c r="AT165" s="108">
        <f>IF(AS148=18," восемнадцать",IF(AS148=19," девятнадцать",""))</f>
      </c>
      <c r="AU165" s="108"/>
      <c r="AV165" s="108"/>
      <c r="AW165" s="74"/>
      <c r="BK165" s="73"/>
      <c r="BL165" s="73"/>
      <c r="BM165" s="73"/>
      <c r="BN165" s="73"/>
      <c r="BO165" s="73"/>
      <c r="BP165" s="73"/>
    </row>
    <row r="166" spans="38:68" s="107" customFormat="1" ht="12" customHeight="1" hidden="1">
      <c r="AL166" s="108"/>
      <c r="AM166" s="108"/>
      <c r="AN166" s="108"/>
      <c r="AO166" s="108"/>
      <c r="AP166" s="108">
        <f>IF(SUM(AS150:AS154)=0,PROPER(AR166),AR166)</f>
      </c>
      <c r="AQ166" s="108">
        <v>11</v>
      </c>
      <c r="AR166" s="115">
        <f>IF(AND(AS148&lt;20,AS148&gt;10),"",AS166&amp;AT166)</f>
      </c>
      <c r="AS166" s="108">
        <f>IF(AS149=10," десять",IF(AS149=20," двадцать",IF(AS149=30," тридцать",IF(AS149=40," сорок",IF(AS149=50," пятьдесят",IF(AS149=60," шестьдесят",""))))))</f>
      </c>
      <c r="AT166" s="108">
        <f>IF(AS149=70," семьдесят",IF(AS149=80," восемьдесят",IF(AS149=90," девяносто","")))</f>
      </c>
      <c r="AU166" s="108"/>
      <c r="AV166" s="108"/>
      <c r="AW166" s="74"/>
      <c r="BK166" s="73"/>
      <c r="BL166" s="73"/>
      <c r="BM166" s="73"/>
      <c r="BN166" s="73"/>
      <c r="BO166" s="73"/>
      <c r="BP166" s="73"/>
    </row>
    <row r="167" spans="38:68" s="107" customFormat="1" ht="12" customHeight="1" hidden="1">
      <c r="AL167" s="108"/>
      <c r="AM167" s="108"/>
      <c r="AN167" s="108"/>
      <c r="AO167" s="108"/>
      <c r="AP167" s="108">
        <f>IF(SUM(AS151:AS154)=0,PROPER(AR167),AR167)</f>
      </c>
      <c r="AQ167" s="108">
        <v>12</v>
      </c>
      <c r="AR167" s="115">
        <f>AS167&amp;AT167</f>
      </c>
      <c r="AS167" s="108">
        <f>IF(AS150=100," сто",IF(AS150=200," двести",IF(AS150=300," триста",IF(AS150=400," четыреста",IF(AS150=500," пятьсот",IF(AS150=600," шестьсот",""))))))</f>
      </c>
      <c r="AT167" s="108">
        <f>IF(AS150=700," семьсот",IF(AS150=800," восемьсот",IF(AS150=900," девятьсот","")))</f>
      </c>
      <c r="AU167" s="108"/>
      <c r="AV167" s="108"/>
      <c r="AW167" s="74"/>
      <c r="BK167" s="73"/>
      <c r="BL167" s="73"/>
      <c r="BM167" s="73"/>
      <c r="BN167" s="73"/>
      <c r="BO167" s="73"/>
      <c r="BP167" s="73"/>
    </row>
    <row r="168" spans="38:68" s="107" customFormat="1" ht="12" customHeight="1" hidden="1">
      <c r="AL168" s="108"/>
      <c r="AM168" s="108"/>
      <c r="AN168" s="108"/>
      <c r="AO168" s="108"/>
      <c r="AP168" s="108">
        <f>IF(SUM(AS152:AS154)=0,PROPER(AR168),AR168)</f>
      </c>
      <c r="AQ168" s="108">
        <v>13</v>
      </c>
      <c r="AR168" s="115">
        <f>IF(AND(AS152&lt;20,AS152&gt;10),"",AS168&amp;AT168)</f>
      </c>
      <c r="AS168" s="108">
        <f>IF(AS151=1," один",IF(AS151=2," два",IF(AS151=3," три",IF(AS151=4," четыре",IF(AS151=5," пять",IF(AS151=6," шесть",IF(AS151=7," семь","")))))))</f>
      </c>
      <c r="AT168" s="108">
        <f>IF(AS151=8," восемь",IF(AS151=9," девять",""))</f>
      </c>
      <c r="AU168" s="108">
        <f>IF(AND(AR168="",AR169="",AR170="",AR171=""),"",IF(AND(AS152&lt;20,AS152&gt;10)," миллиардов",IF(AS151=1," миллиард",IF(OR(AS151=2,AS151=3,AS151=4)," миллиарда"," миллиардов"))))</f>
      </c>
      <c r="AV168" s="108"/>
      <c r="AW168" s="74"/>
      <c r="BK168" s="73"/>
      <c r="BL168" s="73"/>
      <c r="BM168" s="73"/>
      <c r="BN168" s="73"/>
      <c r="BO168" s="73"/>
      <c r="BP168" s="73"/>
    </row>
    <row r="169" spans="38:68" s="107" customFormat="1" ht="12" customHeight="1" hidden="1">
      <c r="AL169" s="108"/>
      <c r="AM169" s="108"/>
      <c r="AN169" s="108"/>
      <c r="AO169" s="108"/>
      <c r="AP169" s="108">
        <f>IF(AS154=0,PROPER(AR169),AR169)</f>
      </c>
      <c r="AQ169" s="108">
        <v>14</v>
      </c>
      <c r="AR169" s="115">
        <f>AS169&amp;AT169</f>
      </c>
      <c r="AS169" s="108">
        <f>IF(AS152=11," одиннадцать",IF(AS152=12," двенадцать",IF(AS152=13," тринадцать",IF(AS152=14," четырнадцать",IF(AS152=15," пятнадцать",IF(AS152=16," шестнадцать",IF(AS152=17," семнадцать","")))))))</f>
      </c>
      <c r="AT169" s="108">
        <f>IF(AS152=18," восемнадцать",IF(AS152=19," девятнадцать",""))</f>
      </c>
      <c r="AU169" s="108"/>
      <c r="AV169" s="108"/>
      <c r="AW169" s="74"/>
      <c r="BK169" s="73"/>
      <c r="BL169" s="73"/>
      <c r="BM169" s="73"/>
      <c r="BN169" s="73"/>
      <c r="BO169" s="73"/>
      <c r="BP169" s="73"/>
    </row>
    <row r="170" spans="38:68" s="107" customFormat="1" ht="12" customHeight="1" hidden="1">
      <c r="AL170" s="108"/>
      <c r="AM170" s="108"/>
      <c r="AN170" s="108"/>
      <c r="AO170" s="108"/>
      <c r="AP170" s="108">
        <f>IF(SUM(AS154)=0,PROPER(AR170),AR170)</f>
      </c>
      <c r="AQ170" s="108">
        <v>15</v>
      </c>
      <c r="AR170" s="115">
        <f>IF(AND(AS152&lt;20,AS152&gt;10),"",AS170&amp;AT170)</f>
      </c>
      <c r="AS170" s="108">
        <f>IF(AS153=10," десять",IF(AS153=20," двадцать",IF(AS153=30," тридцать",IF(AS153=40," сорок",IF(AS153=50," пятьдесят",IF(AS153=60," шестьдесят",""))))))</f>
      </c>
      <c r="AT170" s="108">
        <f>IF(AS153=70," семьдесят",IF(AS153=80," восемьдесят",IF(AS153=90," девяносто","")))</f>
      </c>
      <c r="AU170" s="108"/>
      <c r="AV170" s="108"/>
      <c r="AW170" s="74"/>
      <c r="BK170" s="73"/>
      <c r="BL170" s="73"/>
      <c r="BM170" s="73"/>
      <c r="BN170" s="73"/>
      <c r="BO170" s="73"/>
      <c r="BP170" s="73"/>
    </row>
    <row r="171" spans="38:68" s="107" customFormat="1" ht="12" customHeight="1" hidden="1">
      <c r="AL171" s="108"/>
      <c r="AM171" s="108"/>
      <c r="AN171" s="108"/>
      <c r="AO171" s="108"/>
      <c r="AP171" s="108">
        <f>PROPER(AR171)</f>
      </c>
      <c r="AQ171" s="108">
        <v>16</v>
      </c>
      <c r="AR171" s="115">
        <f>AS171&amp;AT171</f>
      </c>
      <c r="AS171" s="108">
        <f>IF(AS154=100," сто",IF(AS154=200," двести",IF(AS154=300," триста",IF(AS154=400," четыреста",IF(AS154=500," пятьсот",IF(AS154=600," шестьсот",""))))))</f>
      </c>
      <c r="AT171" s="108">
        <f>IF(AS154=700," семьсот",IF(AS154=800," восемьсот",IF(AS154=900," девятьсот","")))</f>
      </c>
      <c r="AU171" s="108"/>
      <c r="AV171" s="108"/>
      <c r="AW171" s="74"/>
      <c r="BK171" s="73"/>
      <c r="BL171" s="73"/>
      <c r="BM171" s="73"/>
      <c r="BN171" s="73"/>
      <c r="BO171" s="73"/>
      <c r="BP171" s="73"/>
    </row>
    <row r="172" spans="38:68" s="107" customFormat="1" ht="12" customHeight="1" hidden="1"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74"/>
      <c r="BK172" s="73"/>
      <c r="BL172" s="73"/>
      <c r="BM172" s="73"/>
      <c r="BN172" s="73"/>
      <c r="BO172" s="73"/>
      <c r="BP172" s="73"/>
    </row>
    <row r="173" spans="38:68" s="107" customFormat="1" ht="12" customHeight="1" hidden="1"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74"/>
      <c r="BK173" s="73"/>
      <c r="BL173" s="73"/>
      <c r="BM173" s="73"/>
      <c r="BN173" s="73"/>
      <c r="BO173" s="73"/>
      <c r="BP173" s="73"/>
    </row>
    <row r="174" spans="38:68" s="107" customFormat="1" ht="12" customHeight="1" hidden="1"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74"/>
      <c r="BK174" s="73"/>
      <c r="BL174" s="73"/>
      <c r="BM174" s="73"/>
      <c r="BN174" s="73"/>
      <c r="BO174" s="73"/>
      <c r="BP174" s="73"/>
    </row>
    <row r="175" spans="38:68" s="107" customFormat="1" ht="12" customHeight="1" hidden="1"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1"/>
      <c r="BK175" s="73"/>
      <c r="BL175" s="73"/>
      <c r="BM175" s="73"/>
      <c r="BN175" s="73"/>
      <c r="BO175" s="73"/>
      <c r="BP175" s="73"/>
    </row>
    <row r="176" spans="38:68" s="107" customFormat="1" ht="12" customHeight="1" hidden="1"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1"/>
      <c r="BK176" s="73"/>
      <c r="BL176" s="73"/>
      <c r="BM176" s="73"/>
      <c r="BN176" s="73"/>
      <c r="BO176" s="73"/>
      <c r="BP176" s="73"/>
    </row>
    <row r="177" spans="38:68" s="107" customFormat="1" ht="12" customHeight="1" hidden="1"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1"/>
      <c r="BK177" s="73"/>
      <c r="BL177" s="73"/>
      <c r="BM177" s="73"/>
      <c r="BN177" s="73"/>
      <c r="BO177" s="73"/>
      <c r="BP177" s="73"/>
    </row>
    <row r="178" spans="64:67" s="72" customFormat="1" ht="12" customHeight="1" hidden="1">
      <c r="BL178" s="73"/>
      <c r="BM178" s="73"/>
      <c r="BN178" s="73"/>
      <c r="BO178" s="73"/>
    </row>
    <row r="179" spans="64:67" s="72" customFormat="1" ht="12" customHeight="1" hidden="1">
      <c r="BL179" s="73"/>
      <c r="BM179" s="73"/>
      <c r="BN179" s="73"/>
      <c r="BO179" s="73"/>
    </row>
    <row r="180" spans="38:68" s="107" customFormat="1" ht="12" customHeight="1" hidden="1">
      <c r="AL180" s="108"/>
      <c r="AM180" s="108"/>
      <c r="AN180" s="108"/>
      <c r="AO180" s="108">
        <f>IF(AP201&lt;64,0,IF(AO188&lt;=64,0,FIND(" ",AR202,64)))</f>
        <v>0</v>
      </c>
      <c r="AP180" s="108"/>
      <c r="AQ180" s="108"/>
      <c r="AR180" s="108"/>
      <c r="AS180" s="108"/>
      <c r="AT180" s="108"/>
      <c r="AU180" s="108"/>
      <c r="AV180" s="108"/>
      <c r="AW180" s="74"/>
      <c r="BK180" s="73"/>
      <c r="BL180" s="73"/>
      <c r="BM180" s="73"/>
      <c r="BN180" s="73"/>
      <c r="BO180" s="73"/>
      <c r="BP180" s="73"/>
    </row>
    <row r="181" spans="38:68" s="107" customFormat="1" ht="12" customHeight="1" hidden="1">
      <c r="AL181" s="108"/>
      <c r="AM181" s="108"/>
      <c r="AN181" s="108"/>
      <c r="AO181" s="108">
        <f>IF(AO185="","",IF(AO182&lt;=AO183,"",MID(AR202,AO183+1,43)))</f>
      </c>
      <c r="AP181" s="108"/>
      <c r="AQ181" s="108"/>
      <c r="AR181" s="108"/>
      <c r="AS181" s="108"/>
      <c r="AT181" s="108"/>
      <c r="AU181" s="108"/>
      <c r="AV181" s="108"/>
      <c r="AW181" s="74"/>
      <c r="BK181" s="73"/>
      <c r="BL181" s="73"/>
      <c r="BM181" s="73"/>
      <c r="BN181" s="73"/>
      <c r="BO181" s="73"/>
      <c r="BP181" s="73"/>
    </row>
    <row r="182" spans="38:68" s="107" customFormat="1" ht="12" customHeight="1" hidden="1">
      <c r="AL182" s="108"/>
      <c r="AM182" s="108"/>
      <c r="AN182" s="108"/>
      <c r="AO182" s="108">
        <f>LEN(AR202)</f>
        <v>42</v>
      </c>
      <c r="AP182" s="108"/>
      <c r="AQ182" s="108"/>
      <c r="AR182" s="108"/>
      <c r="AS182" s="108"/>
      <c r="AT182" s="108"/>
      <c r="AU182" s="108"/>
      <c r="AV182" s="108"/>
      <c r="AW182" s="74"/>
      <c r="BK182" s="73"/>
      <c r="BL182" s="73"/>
      <c r="BM182" s="73"/>
      <c r="BN182" s="73"/>
      <c r="BO182" s="73"/>
      <c r="BP182" s="73"/>
    </row>
    <row r="183" spans="38:68" s="107" customFormat="1" ht="12" customHeight="1" hidden="1">
      <c r="AL183" s="108"/>
      <c r="AM183" s="108"/>
      <c r="AN183" s="108"/>
      <c r="AO183" s="108">
        <f>LEN(AO187)+LEN(AO185)+1</f>
        <v>42</v>
      </c>
      <c r="AP183" s="108">
        <f>LEN(AO187)</f>
        <v>31</v>
      </c>
      <c r="AQ183" s="108"/>
      <c r="AR183" s="108"/>
      <c r="AS183" s="108"/>
      <c r="AT183" s="108"/>
      <c r="AU183" s="108"/>
      <c r="AV183" s="108"/>
      <c r="AW183" s="74"/>
      <c r="BK183" s="73"/>
      <c r="BL183" s="73"/>
      <c r="BM183" s="73"/>
      <c r="BN183" s="73"/>
      <c r="BO183" s="73"/>
      <c r="BP183" s="73"/>
    </row>
    <row r="184" spans="38:68" s="107" customFormat="1" ht="12" customHeight="1" hidden="1">
      <c r="AL184" s="108"/>
      <c r="AM184" s="108"/>
      <c r="AN184" s="108"/>
      <c r="AO184" s="108">
        <f>AO183-AO186</f>
        <v>10</v>
      </c>
      <c r="AP184" s="109"/>
      <c r="AQ184" s="108"/>
      <c r="AR184" s="108" t="s">
        <v>105</v>
      </c>
      <c r="AS184" s="108"/>
      <c r="AT184" s="108"/>
      <c r="AU184" s="108"/>
      <c r="AV184" s="108"/>
      <c r="AW184" s="74"/>
      <c r="BK184" s="73"/>
      <c r="BL184" s="73"/>
      <c r="BM184" s="73"/>
      <c r="BN184" s="73"/>
      <c r="BO184" s="73"/>
      <c r="BP184" s="73"/>
    </row>
    <row r="185" spans="38:68" s="107" customFormat="1" ht="12" customHeight="1" hidden="1">
      <c r="AL185" s="108"/>
      <c r="AM185" s="108">
        <f>IF(AM188&lt;=AM189,"",MID(AR202,AM186+1,100))</f>
      </c>
      <c r="AN185" s="108"/>
      <c r="AO185" s="108" t="str">
        <f>IF(AO188&lt;=AO189,"",IF(AO180=0,MID(AR202,AO186+1,39),MID(AR202,AO186+1,AO180-AO186)))</f>
        <v>двенадцать</v>
      </c>
      <c r="AP185" s="109"/>
      <c r="AQ185" s="108"/>
      <c r="AR185" s="110">
        <f>INT(AS185)</f>
        <v>83712</v>
      </c>
      <c r="AS185" s="110">
        <f>ROUND(AD42,2)</f>
        <v>83712.07</v>
      </c>
      <c r="AT185" s="108"/>
      <c r="AU185" s="108"/>
      <c r="AV185" s="108"/>
      <c r="AW185" s="74"/>
      <c r="BK185" s="73"/>
      <c r="BL185" s="73"/>
      <c r="BM185" s="73"/>
      <c r="BN185" s="73"/>
      <c r="BO185" s="73"/>
      <c r="BP185" s="73"/>
    </row>
    <row r="186" spans="38:68" s="107" customFormat="1" ht="12" customHeight="1" hidden="1">
      <c r="AL186" s="108"/>
      <c r="AM186" s="108" t="e">
        <f>FIND(" ",AR202,45)</f>
        <v>#VALUE!</v>
      </c>
      <c r="AN186" s="108"/>
      <c r="AO186" s="108">
        <f>FIND(" ",AR202,25)</f>
        <v>32</v>
      </c>
      <c r="AP186" s="108"/>
      <c r="AQ186" s="108">
        <v>1</v>
      </c>
      <c r="AR186" s="111">
        <f>AR185-INT(AR185/10)*10</f>
        <v>2</v>
      </c>
      <c r="AS186" s="112">
        <f>ROUND((AS185-AR185)*100,0)</f>
        <v>7</v>
      </c>
      <c r="AT186" s="108"/>
      <c r="AU186" s="108"/>
      <c r="AV186" s="108"/>
      <c r="AW186" s="74"/>
      <c r="BK186" s="73"/>
      <c r="BL186" s="73"/>
      <c r="BM186" s="73"/>
      <c r="BN186" s="73"/>
      <c r="BO186" s="73"/>
      <c r="BP186" s="73"/>
    </row>
    <row r="187" spans="38:68" s="107" customFormat="1" ht="12" customHeight="1" hidden="1">
      <c r="AL187" s="108"/>
      <c r="AM187" s="108" t="str">
        <f>IF(AM188&gt;AM189,LEFT(AR202,AM186-1),LEFT(AR202,50))</f>
        <v> Восемьдесят три тысячи семьсот двенадцать</v>
      </c>
      <c r="AN187" s="108"/>
      <c r="AO187" s="108" t="str">
        <f>IF(AO188&gt;=AO189,LEFT(AR202,AO186-1),LEFT(AR202,30))</f>
        <v> Восемьдесят три тысячи семьсот</v>
      </c>
      <c r="AP187" s="108"/>
      <c r="AQ187" s="108">
        <v>2</v>
      </c>
      <c r="AR187" s="113">
        <f>IF(AND(AR186+AR188&gt;=11,AR186+AR188&lt;=19),AR186+AR188,0)</f>
        <v>12</v>
      </c>
      <c r="AS187" s="113">
        <f>INT(AS186)</f>
        <v>7</v>
      </c>
      <c r="AT187" s="108"/>
      <c r="AU187" s="108"/>
      <c r="AV187" s="108"/>
      <c r="AW187" s="74"/>
      <c r="BK187" s="73"/>
      <c r="BL187" s="73"/>
      <c r="BM187" s="73"/>
      <c r="BN187" s="73"/>
      <c r="BO187" s="73"/>
      <c r="BP187" s="73"/>
    </row>
    <row r="188" spans="38:68" s="107" customFormat="1" ht="12" customHeight="1" hidden="1">
      <c r="AL188" s="108"/>
      <c r="AM188" s="108">
        <f>LEN(AR202)</f>
        <v>42</v>
      </c>
      <c r="AN188" s="108"/>
      <c r="AO188" s="108">
        <f>LEN(AR202)</f>
        <v>42</v>
      </c>
      <c r="AP188" s="109"/>
      <c r="AQ188" s="108">
        <v>3</v>
      </c>
      <c r="AR188" s="113">
        <f>AR185-INT(AR185/100)*100-AR186</f>
        <v>10</v>
      </c>
      <c r="AS188" s="113">
        <f>IF(AS187=0,"",AS187-INT(AS187/10)*10)</f>
        <v>7</v>
      </c>
      <c r="AT188" s="108"/>
      <c r="AU188" s="108"/>
      <c r="AV188" s="108"/>
      <c r="AW188" s="74"/>
      <c r="BK188" s="73"/>
      <c r="BL188" s="73"/>
      <c r="BM188" s="73"/>
      <c r="BN188" s="73"/>
      <c r="BO188" s="73"/>
      <c r="BP188" s="73"/>
    </row>
    <row r="189" spans="38:68" s="107" customFormat="1" ht="12" customHeight="1" hidden="1">
      <c r="AL189" s="108"/>
      <c r="AM189" s="108">
        <v>50</v>
      </c>
      <c r="AN189" s="108"/>
      <c r="AO189" s="108">
        <v>30</v>
      </c>
      <c r="AP189" s="109"/>
      <c r="AQ189" s="108">
        <v>4</v>
      </c>
      <c r="AR189" s="113">
        <f>AR185-INT(AR185/1000)*1000-AR188-AR186</f>
        <v>700</v>
      </c>
      <c r="AS189" s="114">
        <f>IF(AS187=0,"",AS187)</f>
        <v>7</v>
      </c>
      <c r="AT189" s="108">
        <v>0</v>
      </c>
      <c r="AU189" s="108" t="s">
        <v>72</v>
      </c>
      <c r="AV189" s="108"/>
      <c r="AW189" s="74"/>
      <c r="BK189" s="73"/>
      <c r="BL189" s="73"/>
      <c r="BM189" s="73"/>
      <c r="BN189" s="73"/>
      <c r="BO189" s="73"/>
      <c r="BP189" s="73"/>
    </row>
    <row r="190" spans="38:68" s="107" customFormat="1" ht="12" customHeight="1" hidden="1">
      <c r="AL190" s="108"/>
      <c r="AM190" s="108"/>
      <c r="AN190" s="108"/>
      <c r="AO190" s="108"/>
      <c r="AP190" s="108"/>
      <c r="AQ190" s="108">
        <v>5</v>
      </c>
      <c r="AR190" s="113">
        <f>AR185-INT(AR185/10000)*10000-AR188-AR186-AR189</f>
        <v>3000</v>
      </c>
      <c r="AS190" s="108">
        <f>AR190/1000</f>
        <v>3</v>
      </c>
      <c r="AT190" s="108"/>
      <c r="AU190" s="108"/>
      <c r="AV190" s="108"/>
      <c r="AW190" s="74"/>
      <c r="BK190" s="73"/>
      <c r="BL190" s="73"/>
      <c r="BM190" s="73"/>
      <c r="BN190" s="73"/>
      <c r="BO190" s="73"/>
      <c r="BP190" s="73"/>
    </row>
    <row r="191" spans="38:68" s="107" customFormat="1" ht="12" customHeight="1" hidden="1">
      <c r="AL191" s="108"/>
      <c r="AM191" s="108"/>
      <c r="AN191" s="108"/>
      <c r="AO191" s="108"/>
      <c r="AP191" s="108"/>
      <c r="AQ191" s="108">
        <v>6</v>
      </c>
      <c r="AR191" s="108"/>
      <c r="AS191" s="113">
        <f>IF(AND(AS190+AS192&gt;=11,AS190+AS192&lt;=19),AS190+AS192,0)</f>
        <v>0</v>
      </c>
      <c r="AT191" s="108"/>
      <c r="AU191" s="108"/>
      <c r="AV191" s="108"/>
      <c r="AW191" s="74"/>
      <c r="BK191" s="73"/>
      <c r="BL191" s="73"/>
      <c r="BM191" s="73"/>
      <c r="BN191" s="73"/>
      <c r="BO191" s="73"/>
      <c r="BP191" s="73"/>
    </row>
    <row r="192" spans="38:68" s="107" customFormat="1" ht="12" customHeight="1" hidden="1">
      <c r="AL192" s="108"/>
      <c r="AM192" s="108"/>
      <c r="AN192" s="108"/>
      <c r="AO192" s="108"/>
      <c r="AP192" s="108"/>
      <c r="AQ192" s="108">
        <v>7</v>
      </c>
      <c r="AR192" s="113">
        <f>AR185-INT(AR185/100000)*100000-AR188-AR186-AR189-AR190</f>
        <v>80000</v>
      </c>
      <c r="AS192" s="108">
        <f>AR192/1000</f>
        <v>80</v>
      </c>
      <c r="AT192" s="108"/>
      <c r="AU192" s="108"/>
      <c r="AV192" s="108"/>
      <c r="AW192" s="74"/>
      <c r="BK192" s="73"/>
      <c r="BL192" s="73"/>
      <c r="BM192" s="73"/>
      <c r="BN192" s="73"/>
      <c r="BO192" s="73"/>
      <c r="BP192" s="73"/>
    </row>
    <row r="193" spans="38:68" s="107" customFormat="1" ht="12" customHeight="1" hidden="1">
      <c r="AL193" s="108"/>
      <c r="AM193" s="108"/>
      <c r="AN193" s="108"/>
      <c r="AO193" s="108"/>
      <c r="AP193" s="108"/>
      <c r="AQ193" s="108">
        <v>8</v>
      </c>
      <c r="AR193" s="113">
        <f>AR185-INT(AR185/1000000)*1000000-AR188-AR186-AR189-AR190-AR192</f>
        <v>0</v>
      </c>
      <c r="AS193" s="108">
        <f>AR193/1000</f>
        <v>0</v>
      </c>
      <c r="AT193" s="108"/>
      <c r="AU193" s="108"/>
      <c r="AV193" s="108"/>
      <c r="AW193" s="74"/>
      <c r="BK193" s="73"/>
      <c r="BL193" s="73"/>
      <c r="BM193" s="73"/>
      <c r="BN193" s="73"/>
      <c r="BO193" s="73"/>
      <c r="BP193" s="73"/>
    </row>
    <row r="194" spans="38:68" s="107" customFormat="1" ht="12" customHeight="1" hidden="1">
      <c r="AL194" s="108"/>
      <c r="AM194" s="108"/>
      <c r="AN194" s="108"/>
      <c r="AO194" s="108"/>
      <c r="AP194" s="108"/>
      <c r="AQ194" s="108">
        <v>9</v>
      </c>
      <c r="AR194" s="113">
        <f>AR185-INT(AR185/10000000)*10000000-AR188-AR186-AR189-AR190-AR192-AR193</f>
        <v>0</v>
      </c>
      <c r="AS194" s="108">
        <f>AR194/1000000</f>
        <v>0</v>
      </c>
      <c r="AT194" s="108"/>
      <c r="AU194" s="108"/>
      <c r="AV194" s="108"/>
      <c r="AW194" s="74"/>
      <c r="BK194" s="73"/>
      <c r="BL194" s="73"/>
      <c r="BM194" s="73"/>
      <c r="BN194" s="73"/>
      <c r="BO194" s="73"/>
      <c r="BP194" s="73"/>
    </row>
    <row r="195" spans="38:68" s="107" customFormat="1" ht="12" customHeight="1" hidden="1">
      <c r="AL195" s="108"/>
      <c r="AM195" s="108"/>
      <c r="AN195" s="108"/>
      <c r="AO195" s="108"/>
      <c r="AP195" s="108"/>
      <c r="AQ195" s="108">
        <v>10</v>
      </c>
      <c r="AR195" s="108"/>
      <c r="AS195" s="113">
        <f>IF(AND(AS194+AS196&gt;=11,AS194+AS196&lt;=19),AS194+AS196,0)</f>
        <v>0</v>
      </c>
      <c r="AT195" s="108"/>
      <c r="AU195" s="108"/>
      <c r="AV195" s="108"/>
      <c r="AW195" s="74"/>
      <c r="BK195" s="73"/>
      <c r="BL195" s="73"/>
      <c r="BM195" s="73"/>
      <c r="BN195" s="73"/>
      <c r="BO195" s="73"/>
      <c r="BP195" s="73"/>
    </row>
    <row r="196" spans="38:68" s="107" customFormat="1" ht="12" customHeight="1" hidden="1">
      <c r="AL196" s="108"/>
      <c r="AM196" s="108"/>
      <c r="AN196" s="108"/>
      <c r="AO196" s="108"/>
      <c r="AP196" s="108"/>
      <c r="AQ196" s="108">
        <v>11</v>
      </c>
      <c r="AR196" s="113">
        <f>AR185-INT(AR185/100000000)*100000000-AR188-AR186-AR189-AR190-AR192-AR193-AR194</f>
        <v>0</v>
      </c>
      <c r="AS196" s="108">
        <f>AR196/1000000</f>
        <v>0</v>
      </c>
      <c r="AT196" s="108"/>
      <c r="AU196" s="108"/>
      <c r="AV196" s="108"/>
      <c r="AW196" s="74"/>
      <c r="BK196" s="73"/>
      <c r="BL196" s="73"/>
      <c r="BM196" s="73"/>
      <c r="BN196" s="73"/>
      <c r="BO196" s="73"/>
      <c r="BP196" s="73"/>
    </row>
    <row r="197" spans="38:68" s="107" customFormat="1" ht="12" customHeight="1" hidden="1">
      <c r="AL197" s="108"/>
      <c r="AM197" s="108"/>
      <c r="AN197" s="108"/>
      <c r="AO197" s="108"/>
      <c r="AP197" s="108"/>
      <c r="AQ197" s="108">
        <v>12</v>
      </c>
      <c r="AR197" s="113">
        <f>AR185-INT(AR185/1000000000)*1000000000-AR188-AR186-AR189-AR190-AR192-AR193-AR194-AR196</f>
        <v>0</v>
      </c>
      <c r="AS197" s="108">
        <f>AR197/1000000</f>
        <v>0</v>
      </c>
      <c r="AT197" s="108"/>
      <c r="AU197" s="108"/>
      <c r="AV197" s="108"/>
      <c r="AW197" s="74"/>
      <c r="BK197" s="73"/>
      <c r="BL197" s="73"/>
      <c r="BM197" s="73"/>
      <c r="BN197" s="73"/>
      <c r="BO197" s="73"/>
      <c r="BP197" s="73"/>
    </row>
    <row r="198" spans="38:68" s="107" customFormat="1" ht="12" customHeight="1" hidden="1">
      <c r="AL198" s="108"/>
      <c r="AM198" s="108"/>
      <c r="AN198" s="108"/>
      <c r="AO198" s="108"/>
      <c r="AP198" s="108"/>
      <c r="AQ198" s="108">
        <v>13</v>
      </c>
      <c r="AR198" s="113">
        <f>AR185-INT(AR185/10000000000)*10000000000-AR188-AR186-AR189-AR190-AR192-AR193-AR194-AR196-AR197</f>
        <v>0</v>
      </c>
      <c r="AS198" s="108">
        <f>AR198/1000000000</f>
        <v>0</v>
      </c>
      <c r="AT198" s="108"/>
      <c r="AU198" s="108"/>
      <c r="AV198" s="108"/>
      <c r="AW198" s="74"/>
      <c r="BK198" s="73"/>
      <c r="BL198" s="73"/>
      <c r="BM198" s="73"/>
      <c r="BN198" s="73"/>
      <c r="BO198" s="73"/>
      <c r="BP198" s="73"/>
    </row>
    <row r="199" spans="38:68" s="107" customFormat="1" ht="12" customHeight="1" hidden="1">
      <c r="AL199" s="108"/>
      <c r="AM199" s="108"/>
      <c r="AN199" s="108"/>
      <c r="AO199" s="108"/>
      <c r="AP199" s="108"/>
      <c r="AQ199" s="108">
        <v>14</v>
      </c>
      <c r="AR199" s="113"/>
      <c r="AS199" s="113">
        <f>IF(AND(AS198+AS200&gt;=11,AS198+AS200&lt;=19),AS198+AS200,0)</f>
        <v>0</v>
      </c>
      <c r="AT199" s="108"/>
      <c r="AU199" s="108"/>
      <c r="AV199" s="108"/>
      <c r="AW199" s="74"/>
      <c r="BK199" s="73"/>
      <c r="BL199" s="73"/>
      <c r="BM199" s="73"/>
      <c r="BN199" s="73"/>
      <c r="BO199" s="73"/>
      <c r="BP199" s="73"/>
    </row>
    <row r="200" spans="38:68" s="107" customFormat="1" ht="12" customHeight="1" hidden="1">
      <c r="AL200" s="108"/>
      <c r="AM200" s="108"/>
      <c r="AN200" s="108"/>
      <c r="AO200" s="108"/>
      <c r="AP200" s="108"/>
      <c r="AQ200" s="108">
        <v>15</v>
      </c>
      <c r="AR200" s="113">
        <f>AR185-INT(AR185/100000000000)*100000000000-AR188-AR186-AR189-AR190-AR192-AR193-AR194-AR196-AR197-AR198</f>
        <v>0</v>
      </c>
      <c r="AS200" s="108">
        <f>AR200/1000000000</f>
        <v>0</v>
      </c>
      <c r="AT200" s="108"/>
      <c r="AU200" s="108"/>
      <c r="AV200" s="108"/>
      <c r="AW200" s="74"/>
      <c r="BK200" s="73"/>
      <c r="BL200" s="73"/>
      <c r="BM200" s="73"/>
      <c r="BN200" s="73"/>
      <c r="BO200" s="73"/>
      <c r="BP200" s="73"/>
    </row>
    <row r="201" spans="38:68" s="107" customFormat="1" ht="12" customHeight="1" hidden="1">
      <c r="AL201" s="108"/>
      <c r="AM201" s="108"/>
      <c r="AN201" s="108"/>
      <c r="AO201" s="108"/>
      <c r="AP201" s="108">
        <f>SEARCH("@",SUBSTITUTE(AR202," ","@",LEN(AR202)-LEN(SUBSTITUTE(AR202," ",""))))</f>
        <v>32</v>
      </c>
      <c r="AQ201" s="108">
        <v>16</v>
      </c>
      <c r="AR201" s="113">
        <f>AR185-INT(AR185/1000000000000)*1000000000000-AR188-AR186-AR189-AR190-AR192-AR193-AR194-AR196-AR197-AR198-AR200</f>
        <v>0</v>
      </c>
      <c r="AS201" s="108">
        <f>AR201/1000000000</f>
        <v>0</v>
      </c>
      <c r="AT201" s="108"/>
      <c r="AU201" s="108"/>
      <c r="AV201" s="108"/>
      <c r="AW201" s="74"/>
      <c r="BK201" s="73"/>
      <c r="BL201" s="73"/>
      <c r="BM201" s="73"/>
      <c r="BN201" s="73"/>
      <c r="BO201" s="73"/>
      <c r="BP201" s="73"/>
    </row>
    <row r="202" spans="38:68" s="107" customFormat="1" ht="12" customHeight="1" hidden="1">
      <c r="AL202" s="108"/>
      <c r="AM202" s="108"/>
      <c r="AN202" s="108"/>
      <c r="AO202" s="108"/>
      <c r="AP202" s="108"/>
      <c r="AQ202" s="108"/>
      <c r="AR202" s="115" t="str">
        <f>IF(AS185=0,"",AP218&amp;AP217&amp;AP216&amp;AP215&amp;AU215&amp;AP214&amp;AP213&amp;AP212&amp;AP211&amp;AU211&amp;AP210&amp;AP209&amp;AP208&amp;AP207&amp;AU207&amp;AP206&amp;AP205&amp;AP204&amp;AP203)</f>
        <v> Восемьдесят три тысячи семьсот двенадцать</v>
      </c>
      <c r="AS202" s="108"/>
      <c r="AT202" s="108"/>
      <c r="AU202" s="108"/>
      <c r="AV202" s="108"/>
      <c r="AW202" s="74"/>
      <c r="BK202" s="73"/>
      <c r="BL202" s="73"/>
      <c r="BM202" s="73"/>
      <c r="BN202" s="73"/>
      <c r="BO202" s="73"/>
      <c r="BP202" s="73"/>
    </row>
    <row r="203" spans="38:68" s="107" customFormat="1" ht="12" customHeight="1" hidden="1">
      <c r="AL203" s="108" t="s">
        <v>73</v>
      </c>
      <c r="AM203" s="116">
        <f>IF(AR187&gt;0,"",IF(AR186=1,AN203,""))</f>
      </c>
      <c r="AN203" s="117" t="s">
        <v>74</v>
      </c>
      <c r="AO203" s="108"/>
      <c r="AP203" s="108">
        <f>IF(SUM(AR187:AR201)=0,PROPER(AR203),AR203)</f>
      </c>
      <c r="AQ203" s="108">
        <v>1</v>
      </c>
      <c r="AR203" s="115">
        <f>IF(AND(AR187&lt;20,AR187&gt;10),"",AS203&amp;AT203)</f>
      </c>
      <c r="AS203" s="108" t="str">
        <f>IF(AR186=1," один",IF(AR186=2," два",IF(AR186=3," три",IF(AR186=4," четыре",IF(AR186=5," пять",IF(AR186=6," шесть",IF(AR186=7," семь","")))))))</f>
        <v> два</v>
      </c>
      <c r="AT203" s="108">
        <f>IF(AR186=8," восемь",IF(AR186=9," девять",""))</f>
      </c>
      <c r="AU203" s="108"/>
      <c r="AV203" s="108"/>
      <c r="AW203" s="74"/>
      <c r="BK203" s="73"/>
      <c r="BL203" s="73"/>
      <c r="BM203" s="73"/>
      <c r="BN203" s="73"/>
      <c r="BO203" s="73"/>
      <c r="BP203" s="73"/>
    </row>
    <row r="204" spans="38:68" s="107" customFormat="1" ht="12" customHeight="1" hidden="1">
      <c r="AL204" s="108" t="s">
        <v>75</v>
      </c>
      <c r="AM204" s="118">
        <f>IF(AR187&gt;0,"",IF(OR(AR186=2,AR186=3,AR186=4),AN204,""))</f>
      </c>
      <c r="AN204" s="119" t="s">
        <v>76</v>
      </c>
      <c r="AO204" s="108"/>
      <c r="AP204" s="108" t="str">
        <f>IF(SUM(AR189:AR201)=0,PROPER(AR204),AR204)</f>
        <v> двенадцать</v>
      </c>
      <c r="AQ204" s="108">
        <v>2</v>
      </c>
      <c r="AR204" s="115" t="str">
        <f>AS204&amp;AT204</f>
        <v> двенадцать</v>
      </c>
      <c r="AS204" s="108" t="str">
        <f>IF(AR187=11," одиннадцать",IF(AR187=12," двенадцать",IF(AR187=13," тринадцать",IF(AR187=14," четырнадцать",IF(AR187=15," пятнадцать",IF(AR187=16," шестнадцать",IF(AR187=17," семнадцать","")))))))</f>
        <v> двенадцать</v>
      </c>
      <c r="AT204" s="108">
        <f>IF(AR187=18," восемнадцать",IF(AR187=19," девятнадцать",""))</f>
      </c>
      <c r="AU204" s="108"/>
      <c r="AV204" s="108"/>
      <c r="AW204" s="74"/>
      <c r="BK204" s="73"/>
      <c r="BL204" s="73"/>
      <c r="BM204" s="73"/>
      <c r="BN204" s="73"/>
      <c r="BO204" s="73"/>
      <c r="BP204" s="73"/>
    </row>
    <row r="205" spans="38:68" s="107" customFormat="1" ht="12" customHeight="1" hidden="1">
      <c r="AL205" s="108" t="s">
        <v>77</v>
      </c>
      <c r="AM205" s="118">
        <f>IF(AR187&gt;0,"",IF(OR(AR186=0,AR186=5,AR186=6,AR186=7,AR186=8,AR186=9),AN205,""))</f>
      </c>
      <c r="AN205" s="119" t="s">
        <v>78</v>
      </c>
      <c r="AO205" s="108"/>
      <c r="AP205" s="108">
        <f>IF(SUM(AR189:AR201)=0,PROPER(AR205),AR205)</f>
      </c>
      <c r="AQ205" s="108">
        <v>3</v>
      </c>
      <c r="AR205" s="115">
        <f>IF(AND(AR187&lt;20,AR187&gt;10),"",AS205&amp;AT205)</f>
      </c>
      <c r="AS205" s="108" t="str">
        <f>IF(AR188=10," десять",IF(AR188=20," двадцать",IF(AR188=30," тридцать",IF(AR188=40," сорок",IF(AR188=50," пятьдесят",IF(AR188=60," шестьдесят",""))))))</f>
        <v> десять</v>
      </c>
      <c r="AT205" s="108">
        <f>IF(AR188=70," семьдесят",IF(AR188=80," восемьдесят",IF(AR188=90," девяносто","")))</f>
      </c>
      <c r="AU205" s="108"/>
      <c r="AV205" s="108"/>
      <c r="AW205" s="74"/>
      <c r="BK205" s="73"/>
      <c r="BL205" s="73"/>
      <c r="BM205" s="73"/>
      <c r="BN205" s="73"/>
      <c r="BO205" s="73"/>
      <c r="BP205" s="73"/>
    </row>
    <row r="206" spans="38:68" s="107" customFormat="1" ht="12" customHeight="1" hidden="1">
      <c r="AL206" s="108"/>
      <c r="AM206" s="108" t="str">
        <f>IF(AND(AR187&gt;=11,AR187&lt;=19),AN205,"")</f>
        <v> белорусских рублей </v>
      </c>
      <c r="AN206" s="119"/>
      <c r="AO206" s="108"/>
      <c r="AP206" s="108" t="str">
        <f>IF(SUM(AS190:AS201)=0,PROPER(AR206),AR206)</f>
        <v> семьсот</v>
      </c>
      <c r="AQ206" s="108">
        <v>4</v>
      </c>
      <c r="AR206" s="115" t="str">
        <f>AS206&amp;AT206</f>
        <v> семьсот</v>
      </c>
      <c r="AS206" s="108">
        <f>IF(AR189=100," сто",IF(AR189=200," двести",IF(AR189=300," триста",IF(AR189=400," четыреста",IF(AR189=500," пятьсот",IF(AR189=600," шестьсот",""))))))</f>
      </c>
      <c r="AT206" s="108" t="str">
        <f>IF(AR189=700," семьсот",IF(AR189=800," восемьсот",IF(AR189=900," девятьсот","")))</f>
        <v> семьсот</v>
      </c>
      <c r="AU206" s="108"/>
      <c r="AV206" s="108"/>
      <c r="AW206" s="74"/>
      <c r="BK206" s="73"/>
      <c r="BL206" s="73"/>
      <c r="BM206" s="73"/>
      <c r="BN206" s="73"/>
      <c r="BO206" s="73"/>
      <c r="BP206" s="73"/>
    </row>
    <row r="207" spans="38:68" s="107" customFormat="1" ht="12" customHeight="1" hidden="1">
      <c r="AL207" s="108"/>
      <c r="AM207" s="117" t="str">
        <f>AM203&amp;AM204&amp;AM205&amp;AM206</f>
        <v> белорусских рублей </v>
      </c>
      <c r="AN207" s="117"/>
      <c r="AO207" s="108"/>
      <c r="AP207" s="108" t="str">
        <f>IF(SUM(AS191:AS201)=0,PROPER(AR207),AR207)</f>
        <v> три</v>
      </c>
      <c r="AQ207" s="108">
        <v>5</v>
      </c>
      <c r="AR207" s="115" t="str">
        <f>IF(AND(AS191&lt;20,AS191&gt;10),"",AS207&amp;AT207)</f>
        <v> три</v>
      </c>
      <c r="AS207" s="108" t="str">
        <f>IF(AS190=1," одна",IF(AS190=2," две",IF(AS190=3," три",IF(AS190=4," четыре",IF(AS190=5," пять",IF(AS190=6," шесть",IF(AS190=7," семь","")))))))</f>
        <v> три</v>
      </c>
      <c r="AT207" s="108">
        <f>IF(AS190=8," восемь",IF(AS190=9," девять",""))</f>
      </c>
      <c r="AU207" s="108" t="str">
        <f>IF(AND(AR207="",AR208="",AR209="",AR210=""),"",IF(AND(AS191&lt;20,AS191&gt;10)," тысяч",IF(AS190=1," тысяча",IF(OR(AS190=2,AS190=3,AS190=4)," тысячи"," тысяч"))))</f>
        <v> тысячи</v>
      </c>
      <c r="AV207" s="108"/>
      <c r="AW207" s="74"/>
      <c r="BK207" s="73"/>
      <c r="BL207" s="73"/>
      <c r="BM207" s="73"/>
      <c r="BN207" s="73"/>
      <c r="BO207" s="73"/>
      <c r="BP207" s="73"/>
    </row>
    <row r="208" spans="38:68" s="107" customFormat="1" ht="12" customHeight="1" hidden="1">
      <c r="AL208" s="108"/>
      <c r="AM208" s="116"/>
      <c r="AN208" s="117"/>
      <c r="AO208" s="108"/>
      <c r="AP208" s="108">
        <f>IF(SUM(AS193:AS201)=0,PROPER(AR208),AR208)</f>
      </c>
      <c r="AQ208" s="108">
        <v>6</v>
      </c>
      <c r="AR208" s="115">
        <f>AS208&amp;AT208</f>
      </c>
      <c r="AS208" s="108">
        <f>IF(AS191=11," одиннадцать",IF(AS191=12," двенадцать",IF(AS191=13," тринадцать",IF(AS191=14," четырнадцать",IF(AS191=15," пятнадцать",IF(AS191=16," шестнадцать",IF(AS191=17," семнадцать","")))))))</f>
      </c>
      <c r="AT208" s="108">
        <f>IF(AS191=18," восемнадцать",IF(AS191=19," девятнадцать",""))</f>
      </c>
      <c r="AU208" s="108"/>
      <c r="AV208" s="108"/>
      <c r="AW208" s="74"/>
      <c r="BK208" s="73"/>
      <c r="BL208" s="73"/>
      <c r="BM208" s="73"/>
      <c r="BN208" s="73"/>
      <c r="BO208" s="73"/>
      <c r="BP208" s="73"/>
    </row>
    <row r="209" spans="38:68" s="107" customFormat="1" ht="12" customHeight="1" hidden="1">
      <c r="AL209" s="108"/>
      <c r="AM209" s="108"/>
      <c r="AN209" s="108"/>
      <c r="AO209" s="108"/>
      <c r="AP209" s="108" t="str">
        <f>IF(SUM(AS193:AS201)=0,PROPER(AR209),AR209)</f>
        <v> Восемьдесят</v>
      </c>
      <c r="AQ209" s="108">
        <v>7</v>
      </c>
      <c r="AR209" s="115" t="str">
        <f>IF(AND(AS191&lt;20,AS191&gt;10),"",AS209&amp;AT209)</f>
        <v> восемьдесят</v>
      </c>
      <c r="AS209" s="108">
        <f>IF(AS192=10," десять",IF(AS192=20," двадцать",IF(AS192=30," тридцать",IF(AS192=40," сорок",IF(AS192=50," пятьдесят",IF(AS192=60," шестьдесят",""))))))</f>
      </c>
      <c r="AT209" s="108" t="str">
        <f>IF(AS192=70," семьдесят",IF(AS192=80," восемьдесят",IF(AS192=90," девяносто","")))</f>
        <v> восемьдесят</v>
      </c>
      <c r="AU209" s="108"/>
      <c r="AV209" s="108"/>
      <c r="AW209" s="74"/>
      <c r="BK209" s="73"/>
      <c r="BL209" s="73"/>
      <c r="BM209" s="73"/>
      <c r="BN209" s="73"/>
      <c r="BO209" s="73"/>
      <c r="BP209" s="73"/>
    </row>
    <row r="210" spans="38:68" s="107" customFormat="1" ht="12" customHeight="1" hidden="1">
      <c r="AL210" s="108"/>
      <c r="AM210" s="108"/>
      <c r="AN210" s="108"/>
      <c r="AO210" s="108"/>
      <c r="AP210" s="108">
        <f>IF(SUM(AS194:AS201)=0,PROPER(AR210),AR210)</f>
      </c>
      <c r="AQ210" s="108">
        <v>8</v>
      </c>
      <c r="AR210" s="115">
        <f>AS210&amp;AT210</f>
      </c>
      <c r="AS210" s="108">
        <f>IF(AS193=100," сто",IF(AS193=200," двести",IF(AS193=300," триста",IF(AS193=400," четыреста",IF(AS193=500," пятьсот",IF(AS193=600," шестьсот",""))))))</f>
      </c>
      <c r="AT210" s="108">
        <f>IF(AS193=700," семьсот",IF(AS193=800," восемьсот",IF(AS193=900," девятьсот","")))</f>
      </c>
      <c r="AU210" s="108"/>
      <c r="AV210" s="108"/>
      <c r="AW210" s="74"/>
      <c r="BK210" s="73"/>
      <c r="BL210" s="73"/>
      <c r="BM210" s="73"/>
      <c r="BN210" s="73"/>
      <c r="BO210" s="73"/>
      <c r="BP210" s="73"/>
    </row>
    <row r="211" spans="38:68" s="107" customFormat="1" ht="12" customHeight="1" hidden="1">
      <c r="AL211" s="108"/>
      <c r="AM211" s="108"/>
      <c r="AN211" s="108"/>
      <c r="AO211" s="108"/>
      <c r="AP211" s="108">
        <f>IF(SUM(AS195:AS201)=0,PROPER(AR211),AR211)</f>
      </c>
      <c r="AQ211" s="108">
        <v>9</v>
      </c>
      <c r="AR211" s="115">
        <f>IF(AND(AS195&lt;20,AS195&gt;10),"",AS211&amp;AT211)</f>
      </c>
      <c r="AS211" s="108">
        <f>IF(AS194=1," один",IF(AS194=2," два",IF(AS194=3," три",IF(AS194=4," четыре",IF(AS194=5," пять",IF(AS194=6," шесть",IF(AS194=7," семь","")))))))</f>
      </c>
      <c r="AT211" s="108">
        <f>IF(AS194=8," восемь",IF(AS194=9," девять",""))</f>
      </c>
      <c r="AU211" s="108">
        <f>IF(AND(AR211="",AR212="",AR213="",AR214=""),"",IF(AND(AS195&lt;20,AS195&gt;10)," миллионов",IF(AS194=1," миллион",IF(OR(AS194=2,AS194=3,AS194=4)," миллиона"," миллионов"))))</f>
      </c>
      <c r="AV211" s="108"/>
      <c r="AW211" s="74"/>
      <c r="BK211" s="73"/>
      <c r="BL211" s="73"/>
      <c r="BM211" s="73"/>
      <c r="BN211" s="73"/>
      <c r="BO211" s="73"/>
      <c r="BP211" s="73"/>
    </row>
    <row r="212" spans="38:68" s="107" customFormat="1" ht="12" customHeight="1" hidden="1">
      <c r="AL212" s="108"/>
      <c r="AM212" s="108"/>
      <c r="AN212" s="108"/>
      <c r="AO212" s="108"/>
      <c r="AP212" s="108">
        <f>IF(SUM(AS197:AS201)=0,PROPER(AR212),AR212)</f>
      </c>
      <c r="AQ212" s="108">
        <v>10</v>
      </c>
      <c r="AR212" s="115">
        <f>AS212&amp;AT212</f>
      </c>
      <c r="AS212" s="108">
        <f>IF(AS195=11," одиннадцать",IF(AS195=12," двенадцать",IF(AS195=13," тринадцать",IF(AS195=14," четырнадцать",IF(AS195=15," пятнадцать",IF(AS195=16," шестнадцать",IF(AS195=17," семнадцать","")))))))</f>
      </c>
      <c r="AT212" s="108">
        <f>IF(AS195=18," восемнадцать",IF(AS195=19," девятнадцать",""))</f>
      </c>
      <c r="AU212" s="108"/>
      <c r="AV212" s="108"/>
      <c r="AW212" s="74"/>
      <c r="BK212" s="73"/>
      <c r="BL212" s="73"/>
      <c r="BM212" s="73"/>
      <c r="BN212" s="73"/>
      <c r="BO212" s="73"/>
      <c r="BP212" s="73"/>
    </row>
    <row r="213" spans="38:68" s="107" customFormat="1" ht="12" customHeight="1" hidden="1">
      <c r="AL213" s="108"/>
      <c r="AM213" s="108"/>
      <c r="AN213" s="108"/>
      <c r="AO213" s="108"/>
      <c r="AP213" s="108">
        <f>IF(SUM(AS197:AS201)=0,PROPER(AR213),AR213)</f>
      </c>
      <c r="AQ213" s="108">
        <v>11</v>
      </c>
      <c r="AR213" s="115">
        <f>IF(AND(AS195&lt;20,AS195&gt;10),"",AS213&amp;AT213)</f>
      </c>
      <c r="AS213" s="108">
        <f>IF(AS196=10," десять",IF(AS196=20," двадцать",IF(AS196=30," тридцать",IF(AS196=40," сорок",IF(AS196=50," пятьдесят",IF(AS196=60," шестьдесят",""))))))</f>
      </c>
      <c r="AT213" s="108">
        <f>IF(AS196=70," семьдесят",IF(AS196=80," восемьдесят",IF(AS196=90," девяносто","")))</f>
      </c>
      <c r="AU213" s="108"/>
      <c r="AV213" s="108"/>
      <c r="AW213" s="74"/>
      <c r="BK213" s="73"/>
      <c r="BL213" s="73"/>
      <c r="BM213" s="73"/>
      <c r="BN213" s="73"/>
      <c r="BO213" s="73"/>
      <c r="BP213" s="73"/>
    </row>
    <row r="214" spans="38:68" s="107" customFormat="1" ht="12" customHeight="1" hidden="1">
      <c r="AL214" s="108"/>
      <c r="AM214" s="108"/>
      <c r="AN214" s="108"/>
      <c r="AO214" s="108"/>
      <c r="AP214" s="108">
        <f>IF(SUM(AS198:AS201)=0,PROPER(AR214),AR214)</f>
      </c>
      <c r="AQ214" s="108">
        <v>12</v>
      </c>
      <c r="AR214" s="115">
        <f>AS214&amp;AT214</f>
      </c>
      <c r="AS214" s="108">
        <f>IF(AS197=100," сто",IF(AS197=200," двести",IF(AS197=300," триста",IF(AS197=400," четыреста",IF(AS197=500," пятьсот",IF(AS197=600," шестьсот",""))))))</f>
      </c>
      <c r="AT214" s="108">
        <f>IF(AS197=700," семьсот",IF(AS197=800," восемьсот",IF(AS197=900," девятьсот","")))</f>
      </c>
      <c r="AU214" s="108"/>
      <c r="AV214" s="108"/>
      <c r="AW214" s="74"/>
      <c r="BK214" s="73"/>
      <c r="BL214" s="73"/>
      <c r="BM214" s="73"/>
      <c r="BN214" s="73"/>
      <c r="BO214" s="73"/>
      <c r="BP214" s="73"/>
    </row>
    <row r="215" spans="38:68" s="107" customFormat="1" ht="12" customHeight="1" hidden="1">
      <c r="AL215" s="108"/>
      <c r="AM215" s="108"/>
      <c r="AN215" s="108"/>
      <c r="AO215" s="108"/>
      <c r="AP215" s="108">
        <f>IF(SUM(AS199:AS201)=0,PROPER(AR215),AR215)</f>
      </c>
      <c r="AQ215" s="108">
        <v>13</v>
      </c>
      <c r="AR215" s="115">
        <f>IF(AND(AS199&lt;20,AS199&gt;10),"",AS215&amp;AT215)</f>
      </c>
      <c r="AS215" s="108">
        <f>IF(AS198=1," один",IF(AS198=2," два",IF(AS198=3," три",IF(AS198=4," четыре",IF(AS198=5," пять",IF(AS198=6," шесть",IF(AS198=7," семь","")))))))</f>
      </c>
      <c r="AT215" s="108">
        <f>IF(AS198=8," восемь",IF(AS198=9," девять",""))</f>
      </c>
      <c r="AU215" s="108">
        <f>IF(AND(AR215="",AR216="",AR217="",AR218=""),"",IF(AND(AS199&lt;20,AS199&gt;10)," миллиардов",IF(AS198=1," миллиард",IF(OR(AS198=2,AS198=3,AS198=4)," миллиарда"," миллиардов"))))</f>
      </c>
      <c r="AV215" s="108"/>
      <c r="AW215" s="74"/>
      <c r="BK215" s="73"/>
      <c r="BL215" s="73"/>
      <c r="BM215" s="73"/>
      <c r="BN215" s="73"/>
      <c r="BO215" s="73"/>
      <c r="BP215" s="73"/>
    </row>
    <row r="216" spans="38:68" s="107" customFormat="1" ht="12" customHeight="1" hidden="1">
      <c r="AL216" s="108"/>
      <c r="AM216" s="108"/>
      <c r="AN216" s="108"/>
      <c r="AO216" s="108"/>
      <c r="AP216" s="108">
        <f>IF(AS201=0,PROPER(AR216),AR216)</f>
      </c>
      <c r="AQ216" s="108">
        <v>14</v>
      </c>
      <c r="AR216" s="115">
        <f>AS216&amp;AT216</f>
      </c>
      <c r="AS216" s="108">
        <f>IF(AS199=11," одиннадцать",IF(AS199=12," двенадцать",IF(AS199=13," тринадцать",IF(AS199=14," четырнадцать",IF(AS199=15," пятнадцать",IF(AS199=16," шестнадцать",IF(AS199=17," семнадцать","")))))))</f>
      </c>
      <c r="AT216" s="108">
        <f>IF(AS199=18," восемнадцать",IF(AS199=19," девятнадцать",""))</f>
      </c>
      <c r="AU216" s="108"/>
      <c r="AV216" s="108"/>
      <c r="AW216" s="74"/>
      <c r="BK216" s="73"/>
      <c r="BL216" s="73"/>
      <c r="BM216" s="73"/>
      <c r="BN216" s="73"/>
      <c r="BO216" s="73"/>
      <c r="BP216" s="73"/>
    </row>
    <row r="217" spans="38:68" s="107" customFormat="1" ht="12" customHeight="1" hidden="1">
      <c r="AL217" s="108"/>
      <c r="AM217" s="108"/>
      <c r="AN217" s="108"/>
      <c r="AO217" s="108"/>
      <c r="AP217" s="108">
        <f>IF(SUM(AS201)=0,PROPER(AR217),AR217)</f>
      </c>
      <c r="AQ217" s="108">
        <v>15</v>
      </c>
      <c r="AR217" s="115">
        <f>IF(AND(AS199&lt;20,AS199&gt;10),"",AS217&amp;AT217)</f>
      </c>
      <c r="AS217" s="108">
        <f>IF(AS200=10," десять",IF(AS200=20," двадцать",IF(AS200=30," тридцать",IF(AS200=40," сорок",IF(AS200=50," пятьдесят",IF(AS200=60," шестьдесят",""))))))</f>
      </c>
      <c r="AT217" s="108">
        <f>IF(AS200=70," семьдесят",IF(AS200=80," восемьдесят",IF(AS200=90," девяносто","")))</f>
      </c>
      <c r="AU217" s="108"/>
      <c r="AV217" s="108"/>
      <c r="AW217" s="74"/>
      <c r="BK217" s="73"/>
      <c r="BL217" s="73"/>
      <c r="BM217" s="73"/>
      <c r="BN217" s="73"/>
      <c r="BO217" s="73"/>
      <c r="BP217" s="73"/>
    </row>
    <row r="218" spans="38:68" s="107" customFormat="1" ht="12" customHeight="1" hidden="1">
      <c r="AL218" s="108"/>
      <c r="AM218" s="108"/>
      <c r="AN218" s="108"/>
      <c r="AO218" s="108"/>
      <c r="AP218" s="108">
        <f>PROPER(AR218)</f>
      </c>
      <c r="AQ218" s="108">
        <v>16</v>
      </c>
      <c r="AR218" s="115">
        <f>AS218&amp;AT218</f>
      </c>
      <c r="AS218" s="108">
        <f>IF(AS201=100," сто",IF(AS201=200," двести",IF(AS201=300," триста",IF(AS201=400," четыреста",IF(AS201=500," пятьсот",IF(AS201=600," шестьсот",""))))))</f>
      </c>
      <c r="AT218" s="108">
        <f>IF(AS201=700," семьсот",IF(AS201=800," восемьсот",IF(AS201=900," девятьсот","")))</f>
      </c>
      <c r="AU218" s="108"/>
      <c r="AV218" s="108"/>
      <c r="AW218" s="74"/>
      <c r="BK218" s="73"/>
      <c r="BL218" s="73"/>
      <c r="BM218" s="73"/>
      <c r="BN218" s="73"/>
      <c r="BO218" s="73"/>
      <c r="BP218" s="73"/>
    </row>
    <row r="219" spans="64:120" s="72" customFormat="1" ht="12" customHeight="1" hidden="1">
      <c r="BL219" s="73"/>
      <c r="BM219" s="73"/>
      <c r="BN219" s="73"/>
      <c r="BO219" s="73"/>
      <c r="DJ219" s="122">
        <f>TRUNC(DJ221/10)</f>
        <v>0</v>
      </c>
      <c r="DK219" s="123">
        <f>TRUNC(RIGHT(DJ219))</f>
        <v>0</v>
      </c>
      <c r="DL219" s="124">
        <f>IF(DK218=1,DK219+10,IF(DK219=0,0,DK219))</f>
        <v>0</v>
      </c>
      <c r="DM219" s="124">
        <f>IF(AND(DL219&gt;9,DL219&lt;16),IF(DL219=10,DM236,IF(DL219=11,DM237,IF(DL219=12,DM238,IF(DL219=13,DM239,IF(DL219=14,DM240,IF(DL219=15,DM241,)))))),"")</f>
      </c>
      <c r="DN219" s="125">
        <f>IF(DK219=1,DJ236,IF(DK219=2,DJ237,IF(DK219=3,DJ238,IF(DK219=4,DJ239,IF(DK219=5,DJ240,IF(DK219=6,DJ241,IF(DK219=7,DJ242,IF(DK219=8,DJ243,DJ244))))))))</f>
        <v>0</v>
      </c>
      <c r="DO219" s="124">
        <f>IF(AND(DL219&gt;15,DL219&lt;20),IF(DL219=16,DM242,IF(DL219=17,DM243,IF(DL219=18,DM244,IF(DL219=19,DM245,)))),"")</f>
      </c>
      <c r="DP219" s="124"/>
    </row>
    <row r="220" spans="45:120" s="73" customFormat="1" ht="12" customHeight="1" hidden="1">
      <c r="AS220" s="72"/>
      <c r="AX220" s="72"/>
      <c r="DI220" s="126"/>
      <c r="DJ220" s="126"/>
      <c r="DK220" s="126"/>
      <c r="DL220" s="126"/>
      <c r="DM220" s="126"/>
      <c r="DN220" s="126"/>
      <c r="DO220" s="126"/>
      <c r="DP220" s="126"/>
    </row>
    <row r="221" spans="111:112" ht="12" customHeight="1">
      <c r="DG221" s="11"/>
      <c r="DH221" s="11"/>
    </row>
    <row r="222" spans="111:112" ht="12" customHeight="1">
      <c r="DG222" s="11"/>
      <c r="DH222" s="11"/>
    </row>
    <row r="223" spans="111:112" ht="12" customHeight="1">
      <c r="DG223" s="11"/>
      <c r="DH223" s="11"/>
    </row>
    <row r="224" spans="111:112" ht="12" customHeight="1">
      <c r="DG224" s="11"/>
      <c r="DH224" s="11"/>
    </row>
    <row r="225" spans="111:112" ht="12" customHeight="1">
      <c r="DG225" s="11"/>
      <c r="DH225" s="11"/>
    </row>
    <row r="226" spans="111:112" ht="12" customHeight="1">
      <c r="DG226" s="11"/>
      <c r="DH226" s="11"/>
    </row>
    <row r="227" spans="111:112" ht="12" customHeight="1">
      <c r="DG227" s="11"/>
      <c r="DH227" s="11"/>
    </row>
    <row r="228" spans="111:112" ht="12" customHeight="1">
      <c r="DG228" s="11"/>
      <c r="DH228" s="11"/>
    </row>
    <row r="229" spans="111:112" ht="12" customHeight="1">
      <c r="DG229" s="11"/>
      <c r="DH229" s="11"/>
    </row>
    <row r="230" spans="111:112" ht="12" customHeight="1">
      <c r="DG230" s="11"/>
      <c r="DH230" s="11"/>
    </row>
    <row r="231" spans="111:112" ht="12" customHeight="1">
      <c r="DG231" s="11"/>
      <c r="DH231" s="11"/>
    </row>
    <row r="232" spans="111:112" ht="12" customHeight="1">
      <c r="DG232" s="11"/>
      <c r="DH232" s="11"/>
    </row>
    <row r="233" spans="111:112" ht="12" customHeight="1">
      <c r="DG233" s="11"/>
      <c r="DH233" s="11"/>
    </row>
    <row r="234" spans="111:112" ht="12" customHeight="1">
      <c r="DG234" s="11"/>
      <c r="DH234" s="11"/>
    </row>
    <row r="235" spans="111:112" ht="12" customHeight="1">
      <c r="DG235" s="11"/>
      <c r="DH235" s="11"/>
    </row>
    <row r="236" spans="111:112" ht="12" customHeight="1">
      <c r="DG236" s="11"/>
      <c r="DH236" s="11"/>
    </row>
    <row r="237" spans="111:112" ht="12" customHeight="1">
      <c r="DG237" s="11"/>
      <c r="DH237" s="11"/>
    </row>
    <row r="238" spans="111:112" ht="12" customHeight="1">
      <c r="DG238" s="11"/>
      <c r="DH238" s="11"/>
    </row>
    <row r="239" spans="111:112" ht="12" customHeight="1">
      <c r="DG239" s="11"/>
      <c r="DH239" s="11"/>
    </row>
    <row r="240" spans="111:112" ht="12" customHeight="1">
      <c r="DG240" s="11"/>
      <c r="DH240" s="11"/>
    </row>
    <row r="241" spans="111:112" ht="12" customHeight="1">
      <c r="DG241" s="11"/>
      <c r="DH241" s="11"/>
    </row>
    <row r="242" spans="111:112" ht="12" customHeight="1">
      <c r="DG242" s="11"/>
      <c r="DH242" s="11"/>
    </row>
    <row r="243" spans="111:112" ht="12" customHeight="1">
      <c r="DG243" s="11"/>
      <c r="DH243" s="11"/>
    </row>
    <row r="244" spans="111:112" ht="12" customHeight="1">
      <c r="DG244" s="11"/>
      <c r="DH244" s="11"/>
    </row>
    <row r="245" spans="111:112" ht="12" customHeight="1">
      <c r="DG245" s="11"/>
      <c r="DH245" s="11"/>
    </row>
    <row r="246" spans="111:112" ht="12" customHeight="1">
      <c r="DG246" s="11"/>
      <c r="DH246" s="11"/>
    </row>
    <row r="247" spans="111:112" ht="12" customHeight="1">
      <c r="DG247" s="11"/>
      <c r="DH247" s="11"/>
    </row>
    <row r="248" spans="111:112" ht="12" customHeight="1">
      <c r="DG248" s="11"/>
      <c r="DH248" s="11"/>
    </row>
  </sheetData>
  <sheetProtection formatCells="0" insertRows="0" deleteRows="0"/>
  <mergeCells count="169">
    <mergeCell ref="C54:I54"/>
    <mergeCell ref="H51:AJ51"/>
    <mergeCell ref="H52:AJ52"/>
    <mergeCell ref="J54:AJ54"/>
    <mergeCell ref="AG48:AH48"/>
    <mergeCell ref="AF49:AI49"/>
    <mergeCell ref="J48:AD48"/>
    <mergeCell ref="C24:H24"/>
    <mergeCell ref="I22:AJ22"/>
    <mergeCell ref="I23:AJ23"/>
    <mergeCell ref="I24:AJ24"/>
    <mergeCell ref="I25:AJ25"/>
    <mergeCell ref="C51:G51"/>
    <mergeCell ref="AH42:AK42"/>
    <mergeCell ref="L67:AJ67"/>
    <mergeCell ref="J63:AJ63"/>
    <mergeCell ref="J64:AJ64"/>
    <mergeCell ref="C66:L66"/>
    <mergeCell ref="M66:AJ66"/>
    <mergeCell ref="C63:I63"/>
    <mergeCell ref="K57:AJ57"/>
    <mergeCell ref="U11:Z11"/>
    <mergeCell ref="O11:T11"/>
    <mergeCell ref="C45:G45"/>
    <mergeCell ref="C48:I48"/>
    <mergeCell ref="AH37:AK37"/>
    <mergeCell ref="I20:AJ20"/>
    <mergeCell ref="I21:AJ21"/>
    <mergeCell ref="C20:H20"/>
    <mergeCell ref="C22:H22"/>
    <mergeCell ref="AD39:AG39"/>
    <mergeCell ref="AD40:AG40"/>
    <mergeCell ref="AD41:AG41"/>
    <mergeCell ref="T60:AJ60"/>
    <mergeCell ref="T61:AJ61"/>
    <mergeCell ref="H60:P60"/>
    <mergeCell ref="H61:P61"/>
    <mergeCell ref="Q60:S60"/>
    <mergeCell ref="C57:J57"/>
    <mergeCell ref="J55:AJ55"/>
    <mergeCell ref="AH32:AK32"/>
    <mergeCell ref="AH33:AK33"/>
    <mergeCell ref="AH34:AK34"/>
    <mergeCell ref="AH35:AK35"/>
    <mergeCell ref="AD42:AG42"/>
    <mergeCell ref="AH38:AK38"/>
    <mergeCell ref="AH39:AK39"/>
    <mergeCell ref="AH40:AK40"/>
    <mergeCell ref="AH41:AK41"/>
    <mergeCell ref="AD38:AG38"/>
    <mergeCell ref="AD37:AG37"/>
    <mergeCell ref="Z37:AC37"/>
    <mergeCell ref="Z38:AC38"/>
    <mergeCell ref="Z39:AC39"/>
    <mergeCell ref="AH36:AK36"/>
    <mergeCell ref="AD32:AG32"/>
    <mergeCell ref="AD33:AG33"/>
    <mergeCell ref="AD34:AG34"/>
    <mergeCell ref="AD35:AG35"/>
    <mergeCell ref="AD36:AG36"/>
    <mergeCell ref="Z42:AC42"/>
    <mergeCell ref="V38:Y38"/>
    <mergeCell ref="V39:Y39"/>
    <mergeCell ref="V40:Y40"/>
    <mergeCell ref="V41:Y41"/>
    <mergeCell ref="V42:Y42"/>
    <mergeCell ref="Z32:AC32"/>
    <mergeCell ref="Z33:AC33"/>
    <mergeCell ref="Z34:AC34"/>
    <mergeCell ref="Z35:AC35"/>
    <mergeCell ref="Z40:AC40"/>
    <mergeCell ref="Z41:AC41"/>
    <mergeCell ref="V37:Y37"/>
    <mergeCell ref="R37:U37"/>
    <mergeCell ref="R38:U38"/>
    <mergeCell ref="R39:U39"/>
    <mergeCell ref="Z36:AC36"/>
    <mergeCell ref="V32:Y32"/>
    <mergeCell ref="V33:Y33"/>
    <mergeCell ref="V34:Y34"/>
    <mergeCell ref="V35:Y35"/>
    <mergeCell ref="V36:Y36"/>
    <mergeCell ref="O36:Q36"/>
    <mergeCell ref="O37:Q37"/>
    <mergeCell ref="R42:U42"/>
    <mergeCell ref="O38:Q38"/>
    <mergeCell ref="O39:Q39"/>
    <mergeCell ref="O40:Q40"/>
    <mergeCell ref="O41:Q41"/>
    <mergeCell ref="O42:Q42"/>
    <mergeCell ref="R32:U32"/>
    <mergeCell ref="R33:U33"/>
    <mergeCell ref="R34:U34"/>
    <mergeCell ref="R35:U35"/>
    <mergeCell ref="R40:U40"/>
    <mergeCell ref="R41:U41"/>
    <mergeCell ref="L38:N38"/>
    <mergeCell ref="L42:N42"/>
    <mergeCell ref="R36:U36"/>
    <mergeCell ref="L39:N39"/>
    <mergeCell ref="O32:Q32"/>
    <mergeCell ref="O33:Q33"/>
    <mergeCell ref="O34:Q34"/>
    <mergeCell ref="O35:Q35"/>
    <mergeCell ref="L40:N40"/>
    <mergeCell ref="L41:N41"/>
    <mergeCell ref="L32:N32"/>
    <mergeCell ref="L33:N33"/>
    <mergeCell ref="L34:N34"/>
    <mergeCell ref="L35:N35"/>
    <mergeCell ref="L36:N36"/>
    <mergeCell ref="L37:N37"/>
    <mergeCell ref="I37:K37"/>
    <mergeCell ref="I38:K38"/>
    <mergeCell ref="I39:K39"/>
    <mergeCell ref="I40:K40"/>
    <mergeCell ref="I41:K41"/>
    <mergeCell ref="I42:K42"/>
    <mergeCell ref="C38:H38"/>
    <mergeCell ref="C41:H41"/>
    <mergeCell ref="C39:H39"/>
    <mergeCell ref="C40:H40"/>
    <mergeCell ref="C42:H42"/>
    <mergeCell ref="I32:K32"/>
    <mergeCell ref="I33:K33"/>
    <mergeCell ref="I34:K34"/>
    <mergeCell ref="I35:K35"/>
    <mergeCell ref="I36:K36"/>
    <mergeCell ref="C32:H32"/>
    <mergeCell ref="C33:H33"/>
    <mergeCell ref="C34:H34"/>
    <mergeCell ref="C35:H35"/>
    <mergeCell ref="C36:H36"/>
    <mergeCell ref="C37:H37"/>
    <mergeCell ref="R29:U30"/>
    <mergeCell ref="O29:Q30"/>
    <mergeCell ref="AH31:AK31"/>
    <mergeCell ref="AD31:AG31"/>
    <mergeCell ref="Z31:AC31"/>
    <mergeCell ref="V31:Y31"/>
    <mergeCell ref="C60:G60"/>
    <mergeCell ref="I29:K30"/>
    <mergeCell ref="AH29:AK30"/>
    <mergeCell ref="AD29:AG30"/>
    <mergeCell ref="R31:U31"/>
    <mergeCell ref="O31:Q31"/>
    <mergeCell ref="C29:H30"/>
    <mergeCell ref="L29:N30"/>
    <mergeCell ref="L31:N31"/>
    <mergeCell ref="I31:K31"/>
    <mergeCell ref="B1:AL1"/>
    <mergeCell ref="O17:P17"/>
    <mergeCell ref="R17:U17"/>
    <mergeCell ref="W17:X17"/>
    <mergeCell ref="C16:AK16"/>
    <mergeCell ref="O12:T12"/>
    <mergeCell ref="U12:Z12"/>
    <mergeCell ref="M12:N12"/>
    <mergeCell ref="E13:J13"/>
    <mergeCell ref="J49:AD49"/>
    <mergeCell ref="K58:AJ58"/>
    <mergeCell ref="C28:AK28"/>
    <mergeCell ref="AG45:AH45"/>
    <mergeCell ref="AF46:AI46"/>
    <mergeCell ref="H45:AD45"/>
    <mergeCell ref="H46:AD46"/>
    <mergeCell ref="C31:H31"/>
    <mergeCell ref="Z29:AC30"/>
    <mergeCell ref="V29:Y30"/>
  </mergeCells>
  <printOptions horizontalCentered="1"/>
  <pageMargins left="0.6299212598425197" right="0.5511811023622047" top="0.2362204724409449" bottom="0.31496062992125984" header="0.1968503937007874" footer="0.1968503937007874"/>
  <pageSetup horizontalDpi="300" verticalDpi="3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375" style="87" customWidth="1"/>
    <col min="2" max="2" width="19.375" style="87" customWidth="1"/>
    <col min="3" max="4" width="9.125" style="87" customWidth="1"/>
    <col min="5" max="5" width="20.625" style="87" customWidth="1"/>
    <col min="6" max="6" width="13.125" style="87" customWidth="1"/>
    <col min="7" max="14" width="9.125" style="87" customWidth="1"/>
    <col min="15" max="15" width="17.25390625" style="87" bestFit="1" customWidth="1"/>
    <col min="16" max="16384" width="9.125" style="87" customWidth="1"/>
  </cols>
  <sheetData>
    <row r="1" spans="1:20" ht="15">
      <c r="A1" s="83"/>
      <c r="B1" s="83"/>
      <c r="C1" s="83"/>
      <c r="D1" s="83" t="s">
        <v>100</v>
      </c>
      <c r="E1" s="84">
        <f>'ТН-2'!AR138</f>
        <v>13951</v>
      </c>
      <c r="F1" s="83" t="s">
        <v>101</v>
      </c>
      <c r="G1" s="85"/>
      <c r="H1" s="86"/>
      <c r="I1" s="83"/>
      <c r="J1" s="83"/>
      <c r="K1" s="83"/>
      <c r="L1" s="83"/>
      <c r="M1" s="83"/>
      <c r="N1" s="83" t="s">
        <v>100</v>
      </c>
      <c r="O1" s="84">
        <f>'ТН-2'!AR185</f>
        <v>83712</v>
      </c>
      <c r="P1" s="83" t="s">
        <v>101</v>
      </c>
      <c r="Q1" s="85"/>
      <c r="R1" s="86"/>
      <c r="S1" s="83"/>
      <c r="T1" s="83"/>
    </row>
    <row r="2" spans="1:20" ht="15">
      <c r="A2" s="88" t="s">
        <v>3</v>
      </c>
      <c r="B2" s="89" t="str">
        <f>SUBSTITUTE(B4,F8,F9,1)</f>
        <v>Тринадцать тысяч девятьсот пятьдесят один  </v>
      </c>
      <c r="C2" s="83"/>
      <c r="D2" s="83"/>
      <c r="E2" s="84"/>
      <c r="F2" s="83"/>
      <c r="G2" s="83"/>
      <c r="H2" s="90"/>
      <c r="I2" s="91"/>
      <c r="J2" s="90"/>
      <c r="K2" s="88" t="s">
        <v>3</v>
      </c>
      <c r="L2" s="89" t="str">
        <f>SUBSTITUTE(L4,P8,P9,1)</f>
        <v>Восемьдесят три тысячи семьсот двенадцать  </v>
      </c>
      <c r="M2" s="83"/>
      <c r="N2" s="83"/>
      <c r="O2" s="84"/>
      <c r="P2" s="83"/>
      <c r="Q2" s="83"/>
      <c r="R2" s="90"/>
      <c r="S2" s="91"/>
      <c r="T2" s="90"/>
    </row>
    <row r="3" spans="1:20" ht="12.75">
      <c r="A3" s="88" t="s">
        <v>4</v>
      </c>
      <c r="B3" s="92" t="str">
        <f>SUBSTITUTE(B5,F8,F9,1)</f>
        <v>Тринадцать тысяч девятьсот пятьдесят один   (в т.ч. НДС - 0)</v>
      </c>
      <c r="C3" s="83"/>
      <c r="D3" s="83"/>
      <c r="E3" s="83"/>
      <c r="F3" s="83"/>
      <c r="G3" s="83"/>
      <c r="H3" s="90"/>
      <c r="I3" s="90"/>
      <c r="J3" s="90"/>
      <c r="K3" s="88" t="s">
        <v>4</v>
      </c>
      <c r="L3" s="92" t="str">
        <f>SUBSTITUTE(L5,P8,P9,1)</f>
        <v>Восемьдесят три тысячи семьсот двенадцать   (в т.ч. НДС - 0)</v>
      </c>
      <c r="M3" s="83"/>
      <c r="N3" s="83"/>
      <c r="O3" s="83"/>
      <c r="P3" s="83"/>
      <c r="Q3" s="83"/>
      <c r="R3" s="90"/>
      <c r="S3" s="90"/>
      <c r="T3" s="90"/>
    </row>
    <row r="4" spans="1:20" ht="12.75">
      <c r="A4" s="88" t="s">
        <v>5</v>
      </c>
      <c r="B4" s="92" t="str">
        <f>CONCATENATE(A7,A8,A9,A10,A11)</f>
        <v>тринадцать тысяч девятьсот пятьдесят один  </v>
      </c>
      <c r="C4" s="83"/>
      <c r="D4" s="83"/>
      <c r="E4" s="83"/>
      <c r="F4" s="83"/>
      <c r="G4" s="83"/>
      <c r="H4" s="93"/>
      <c r="I4" s="83"/>
      <c r="J4" s="83"/>
      <c r="K4" s="88" t="s">
        <v>5</v>
      </c>
      <c r="L4" s="92" t="str">
        <f>CONCATENATE(K7,K8,K9,K10,K11)</f>
        <v>восемьдесят три тысячи семьсот двенадцать  </v>
      </c>
      <c r="M4" s="83"/>
      <c r="N4" s="83"/>
      <c r="O4" s="83"/>
      <c r="P4" s="83"/>
      <c r="Q4" s="83"/>
      <c r="R4" s="93"/>
      <c r="S4" s="83"/>
      <c r="T4" s="83"/>
    </row>
    <row r="5" spans="1:20" ht="12.75">
      <c r="A5" s="88" t="s">
        <v>6</v>
      </c>
      <c r="B5" s="92" t="str">
        <f>CONCATENATE(A7,A8,A9,A10,A11,B7,B8,C8)</f>
        <v>тринадцать тысяч девятьсот пятьдесят один   (в т.ч. НДС - 0)</v>
      </c>
      <c r="C5" s="83"/>
      <c r="D5" s="83"/>
      <c r="E5" s="83"/>
      <c r="F5" s="92"/>
      <c r="G5" s="92"/>
      <c r="H5" s="94"/>
      <c r="I5" s="92"/>
      <c r="J5" s="92"/>
      <c r="K5" s="88" t="s">
        <v>6</v>
      </c>
      <c r="L5" s="92" t="str">
        <f>CONCATENATE(K7,K8,K9,K10,K11,L7,L8,M8)</f>
        <v>восемьдесят три тысячи семьсот двенадцать   (в т.ч. НДС - 0)</v>
      </c>
      <c r="M5" s="83"/>
      <c r="N5" s="83"/>
      <c r="O5" s="83"/>
      <c r="P5" s="92"/>
      <c r="Q5" s="92"/>
      <c r="R5" s="94"/>
      <c r="S5" s="92"/>
      <c r="T5" s="92"/>
    </row>
    <row r="6" spans="1:20" ht="12.75">
      <c r="A6" s="83"/>
      <c r="B6" s="83"/>
      <c r="C6" s="83"/>
      <c r="D6" s="93"/>
      <c r="E6" s="83"/>
      <c r="F6" s="83"/>
      <c r="G6" s="83"/>
      <c r="H6" s="188" t="s">
        <v>102</v>
      </c>
      <c r="I6" s="188"/>
      <c r="J6" s="188"/>
      <c r="K6" s="83"/>
      <c r="L6" s="83"/>
      <c r="M6" s="83"/>
      <c r="N6" s="93"/>
      <c r="O6" s="83"/>
      <c r="P6" s="83"/>
      <c r="Q6" s="83"/>
      <c r="R6" s="188" t="s">
        <v>102</v>
      </c>
      <c r="S6" s="188"/>
      <c r="T6" s="188"/>
    </row>
    <row r="7" spans="1:20" ht="12.75">
      <c r="A7" s="92">
        <f>CONCATENATE(IF(B14=0,"",E14),IF(B15=0,"",IF(C16&lt;20,IF(C16&lt;16,IF(C16&lt;10,E15,D16),F16),E15)),IF(B16=0,"",IF(NOT(B15=1),E16,"")),F17)</f>
      </c>
      <c r="B7" s="83" t="s">
        <v>103</v>
      </c>
      <c r="C7" s="83"/>
      <c r="D7" s="93"/>
      <c r="E7" s="83"/>
      <c r="F7" s="95">
        <f>CODE(B5)</f>
        <v>242</v>
      </c>
      <c r="G7" s="92"/>
      <c r="H7" s="188"/>
      <c r="I7" s="188"/>
      <c r="J7" s="188"/>
      <c r="K7" s="92">
        <f>CONCATENATE(IF(L14=0,"",O14),IF(L15=0,"",IF(M16&lt;20,IF(M16&lt;16,IF(M16&lt;10,O15,N16),P16),O15)),IF(L16=0,"",IF(NOT(L15=1),O16,"")),P17)</f>
      </c>
      <c r="L7" s="83" t="s">
        <v>103</v>
      </c>
      <c r="M7" s="83"/>
      <c r="N7" s="93"/>
      <c r="O7" s="83"/>
      <c r="P7" s="95">
        <f>CODE(L5)</f>
        <v>226</v>
      </c>
      <c r="Q7" s="92"/>
      <c r="R7" s="188"/>
      <c r="S7" s="188"/>
      <c r="T7" s="188"/>
    </row>
    <row r="8" spans="1:20" ht="12.75">
      <c r="A8" s="92">
        <f>CONCATENATE(IF(B18=0,"",E18),IF(B19=0,"",IF(C20&lt;20,IF(C20&lt;16,IF(C20&lt;10,E19,D20),F20),E19)),IF(B20=0,"",IF(NOT(B19=1),E20,"")),F21)</f>
      </c>
      <c r="B8" s="96">
        <f>ROUND((G1),2)</f>
        <v>0</v>
      </c>
      <c r="C8" s="83" t="s">
        <v>104</v>
      </c>
      <c r="D8" s="97"/>
      <c r="E8" s="83"/>
      <c r="F8" s="95" t="str">
        <f>CHAR(F7)</f>
        <v>т</v>
      </c>
      <c r="G8" s="92"/>
      <c r="H8" s="188"/>
      <c r="I8" s="188"/>
      <c r="J8" s="188"/>
      <c r="K8" s="92">
        <f>CONCATENATE(IF(L18=0,"",O18),IF(L19=0,"",IF(M20&lt;20,IF(M20&lt;16,IF(M20&lt;10,O19,N20),P20),O19)),IF(L20=0,"",IF(NOT(L19=1),O20,"")),P21)</f>
      </c>
      <c r="L8" s="96">
        <f>ROUND((Q1),2)</f>
        <v>0</v>
      </c>
      <c r="M8" s="83" t="s">
        <v>104</v>
      </c>
      <c r="N8" s="97"/>
      <c r="O8" s="83"/>
      <c r="P8" s="95" t="str">
        <f>CHAR(P7)</f>
        <v>в</v>
      </c>
      <c r="Q8" s="92"/>
      <c r="R8" s="188"/>
      <c r="S8" s="188"/>
      <c r="T8" s="188"/>
    </row>
    <row r="9" spans="1:20" ht="12.75">
      <c r="A9" s="92" t="str">
        <f>CONCATENATE(IF(B22=0,"",E22),IF(B23=0,"",IF(C24&lt;20,IF(C24&lt;16,IF(C24&lt;10,E23,D24),F24),E23)),IF(B24=0,"",IF(NOT(B23=1),E24,"")),F25)</f>
        <v>тринадцать тысяч </v>
      </c>
      <c r="B9" s="92"/>
      <c r="C9" s="92"/>
      <c r="D9" s="94"/>
      <c r="E9" s="98"/>
      <c r="F9" s="95" t="str">
        <f>PROPER(F8)</f>
        <v>Т</v>
      </c>
      <c r="G9" s="92"/>
      <c r="H9" s="188"/>
      <c r="I9" s="188"/>
      <c r="J9" s="188"/>
      <c r="K9" s="92" t="str">
        <f>CONCATENATE(IF(L22=0,"",O22),IF(L23=0,"",IF(M24&lt;20,IF(M24&lt;16,IF(M24&lt;10,O23,N24),P24),O23)),IF(L24=0,"",IF(NOT(L23=1),O24,"")),P25)</f>
        <v>восемьдесят три тысячи </v>
      </c>
      <c r="L9" s="92"/>
      <c r="M9" s="92"/>
      <c r="N9" s="94"/>
      <c r="O9" s="98"/>
      <c r="P9" s="95" t="str">
        <f>PROPER(P8)</f>
        <v>В</v>
      </c>
      <c r="Q9" s="92"/>
      <c r="R9" s="188"/>
      <c r="S9" s="188"/>
      <c r="T9" s="188"/>
    </row>
    <row r="10" spans="1:20" ht="12.75">
      <c r="A10" s="92" t="str">
        <f>CONCATENATE(IF(B26=0,"",E26),IF(B27=0,"",IF(C28&lt;20,IF(C28&lt;16,IF(C28&lt;10,E27,D28),F28),E27)),IF(B28=0,"",IF(NOT(B27=1),E28,"")),F29)</f>
        <v>девятьсот пятьдесят один </v>
      </c>
      <c r="B10" s="92"/>
      <c r="C10" s="92"/>
      <c r="D10" s="94"/>
      <c r="E10" s="98"/>
      <c r="F10" s="92"/>
      <c r="G10" s="92"/>
      <c r="H10" s="188"/>
      <c r="I10" s="188"/>
      <c r="J10" s="188"/>
      <c r="K10" s="92" t="str">
        <f>CONCATENATE(IF(L26=0,"",O26),IF(L27=0,"",IF(M28&lt;20,IF(M28&lt;16,IF(M28&lt;10,O27,N28),P28),O27)),IF(L28=0,"",IF(NOT(L27=1),O28,"")),P29)</f>
        <v>семьсот двенадцать </v>
      </c>
      <c r="L10" s="92"/>
      <c r="M10" s="92"/>
      <c r="N10" s="94"/>
      <c r="O10" s="98"/>
      <c r="P10" s="92"/>
      <c r="Q10" s="92"/>
      <c r="R10" s="188"/>
      <c r="S10" s="188"/>
      <c r="T10" s="188"/>
    </row>
    <row r="11" spans="1:20" ht="12.75">
      <c r="A11" s="92" t="str">
        <f>CONCATENATE(IF(B30=0,"",IF(C31&lt;20,IF(C31&lt;16,IF(C31&lt;10,E30,D31),F31),E30)),IF(B31=0,"",IF(NOT(B30=1),E31,"")),F32)</f>
        <v> </v>
      </c>
      <c r="B11" s="92"/>
      <c r="C11" s="92"/>
      <c r="D11" s="94"/>
      <c r="E11" s="98"/>
      <c r="F11" s="92"/>
      <c r="G11" s="92"/>
      <c r="H11" s="92"/>
      <c r="I11" s="92"/>
      <c r="J11" s="92"/>
      <c r="K11" s="92" t="str">
        <f>CONCATENATE(IF(L30=0,"",IF(M31&lt;20,IF(M31&lt;16,IF(M31&lt;10,O30,N31),P31),O30)),IF(L31=0,"",IF(NOT(L30=1),O31,"")),P32)</f>
        <v> </v>
      </c>
      <c r="L11" s="92"/>
      <c r="M11" s="92"/>
      <c r="N11" s="94"/>
      <c r="O11" s="98"/>
      <c r="P11" s="92"/>
      <c r="Q11" s="92"/>
      <c r="R11" s="92"/>
      <c r="S11" s="92"/>
      <c r="T11" s="92"/>
    </row>
    <row r="12" spans="1:20" ht="12.75">
      <c r="A12" s="99"/>
      <c r="B12" s="92"/>
      <c r="C12" s="92"/>
      <c r="D12" s="92"/>
      <c r="E12" s="100">
        <f>TRUNC(E1)</f>
        <v>13951</v>
      </c>
      <c r="F12" s="92" t="s">
        <v>7</v>
      </c>
      <c r="G12" s="92"/>
      <c r="H12" s="94"/>
      <c r="I12" s="92"/>
      <c r="J12" s="92"/>
      <c r="K12" s="99"/>
      <c r="L12" s="92"/>
      <c r="M12" s="92"/>
      <c r="N12" s="92"/>
      <c r="O12" s="100">
        <f>TRUNC(O1)</f>
        <v>83712</v>
      </c>
      <c r="P12" s="92" t="s">
        <v>7</v>
      </c>
      <c r="Q12" s="92"/>
      <c r="R12" s="94"/>
      <c r="S12" s="92"/>
      <c r="T12" s="92"/>
    </row>
    <row r="13" spans="1:20" ht="12.75">
      <c r="A13" s="101">
        <f>TRUNC(A14/10)</f>
        <v>0</v>
      </c>
      <c r="B13" s="94"/>
      <c r="C13" s="92"/>
      <c r="D13" s="92"/>
      <c r="E13" s="92"/>
      <c r="F13" s="92"/>
      <c r="G13" s="92"/>
      <c r="H13" s="94"/>
      <c r="I13" s="92"/>
      <c r="J13" s="92"/>
      <c r="K13" s="101">
        <f>TRUNC(K14/10)</f>
        <v>0</v>
      </c>
      <c r="L13" s="94"/>
      <c r="M13" s="92"/>
      <c r="N13" s="92"/>
      <c r="O13" s="92"/>
      <c r="P13" s="92"/>
      <c r="Q13" s="92"/>
      <c r="R13" s="94"/>
      <c r="S13" s="92"/>
      <c r="T13" s="92"/>
    </row>
    <row r="14" spans="1:20" ht="12.75">
      <c r="A14" s="101">
        <f>TRUNC(A15/10)</f>
        <v>0</v>
      </c>
      <c r="B14" s="94">
        <f>TRUNC(RIGHT(A14))</f>
        <v>0</v>
      </c>
      <c r="C14" s="92">
        <f>B14</f>
        <v>0</v>
      </c>
      <c r="D14" s="92"/>
      <c r="E14" s="102" t="str">
        <f>IF(B14=1,E42,IF(B14=2,G34,IF(B14=3,G35,IF(B14=4,G36,IF(B14=5,G37,IF(B14=6,G38,IF(B14=7,G39,IF(B14=8,G40,G41))))))))</f>
        <v>девятьсот </v>
      </c>
      <c r="F14" s="92"/>
      <c r="G14" s="92"/>
      <c r="H14" s="94"/>
      <c r="I14" s="92"/>
      <c r="J14" s="92"/>
      <c r="K14" s="101">
        <f>TRUNC(K15/10)</f>
        <v>0</v>
      </c>
      <c r="L14" s="94">
        <f>TRUNC(RIGHT(K14))</f>
        <v>0</v>
      </c>
      <c r="M14" s="92">
        <f>L14</f>
        <v>0</v>
      </c>
      <c r="N14" s="92"/>
      <c r="O14" s="102" t="str">
        <f>IF(L14=1,O42,IF(L14=2,Q34,IF(L14=3,Q35,IF(L14=4,Q36,IF(L14=5,Q37,IF(L14=6,Q38,IF(L14=7,Q39,IF(L14=8,Q40,Q41))))))))</f>
        <v>девятьсот </v>
      </c>
      <c r="P14" s="92"/>
      <c r="Q14" s="92"/>
      <c r="R14" s="94"/>
      <c r="S14" s="92"/>
      <c r="T14" s="92"/>
    </row>
    <row r="15" spans="1:20" ht="12.75">
      <c r="A15" s="101">
        <f>TRUNC(A16/10)</f>
        <v>0</v>
      </c>
      <c r="B15" s="94">
        <f>TRUNC(RIGHT(A15))</f>
        <v>0</v>
      </c>
      <c r="C15" s="92">
        <f>IF(B15=1,"",B15)</f>
        <v>0</v>
      </c>
      <c r="D15" s="92"/>
      <c r="E15" s="103">
        <f>IF(OR(C15=0,B15=1),"",IF(B15=2,E34,IF(B15=3,E35,IF(B15=4,E36,IF(B15=5,E37,IF(B15=6,E38,IF(B15=7,E39,IF(B15=8,E40,E41))))))))</f>
      </c>
      <c r="F15" s="92"/>
      <c r="G15" s="92"/>
      <c r="H15" s="94"/>
      <c r="I15" s="92"/>
      <c r="J15" s="92"/>
      <c r="K15" s="101">
        <f>TRUNC(K16/10)</f>
        <v>0</v>
      </c>
      <c r="L15" s="94">
        <f>TRUNC(RIGHT(K15))</f>
        <v>0</v>
      </c>
      <c r="M15" s="92">
        <f>IF(L15=1,"",L15)</f>
        <v>0</v>
      </c>
      <c r="N15" s="92"/>
      <c r="O15" s="103">
        <f>IF(OR(M15=0,L15=1),"",IF(L15=2,O34,IF(L15=3,O35,IF(L15=4,O36,IF(L15=5,O37,IF(L15=6,O38,IF(L15=7,O39,IF(L15=8,O40,O41))))))))</f>
      </c>
      <c r="P15" s="92"/>
      <c r="Q15" s="92"/>
      <c r="R15" s="94"/>
      <c r="S15" s="92"/>
      <c r="T15" s="92"/>
    </row>
    <row r="16" spans="1:20" ht="12.75">
      <c r="A16" s="101">
        <f>TRUNC(A18/10)</f>
        <v>0</v>
      </c>
      <c r="B16" s="94">
        <f>TRUNC(RIGHT(A16))</f>
        <v>0</v>
      </c>
      <c r="C16" s="92">
        <f>IF(B15=1,B16+10,IF(B16=0,0,B16))</f>
        <v>0</v>
      </c>
      <c r="D16" s="92">
        <f>IF(AND(C16&gt;9,C16&lt;16),IF(C16=10,D33,IF(C16=11,D34,IF(C16=12,D35,IF(C16=13,D36,IF(C16=14,D37,IF(C16=15,D38,)))))),"")</f>
      </c>
      <c r="E16" s="103" t="str">
        <f>IF(B16=1,A33,IF(B16=2,A34,IF(B16=3,A35,IF(B16=4,A36,IF(B16=5,A37,IF(B16=6,A38,IF(B16=7,A39,IF(B16=8,A40,A41))))))))</f>
        <v>девять </v>
      </c>
      <c r="F16" s="92">
        <f>IF(AND(C16&gt;15,C16&lt;20),IF(C16=16,D39,IF(C16=17,D40,IF(C16=18,D41,IF(C16=19,D42,)))),"")</f>
      </c>
      <c r="G16" s="92"/>
      <c r="H16" s="94"/>
      <c r="I16" s="92"/>
      <c r="J16" s="92"/>
      <c r="K16" s="101">
        <f>TRUNC(K18/10)</f>
        <v>0</v>
      </c>
      <c r="L16" s="94">
        <f>TRUNC(RIGHT(K16))</f>
        <v>0</v>
      </c>
      <c r="M16" s="92">
        <f>IF(L15=1,L16+10,IF(L16=0,0,L16))</f>
        <v>0</v>
      </c>
      <c r="N16" s="92">
        <f>IF(AND(M16&gt;9,M16&lt;16),IF(M16=10,N33,IF(M16=11,N34,IF(M16=12,N35,IF(M16=13,N36,IF(M16=14,N37,IF(M16=15,N38,)))))),"")</f>
      </c>
      <c r="O16" s="103" t="str">
        <f>IF(L16=1,K33,IF(L16=2,K34,IF(L16=3,K35,IF(L16=4,K36,IF(L16=5,K37,IF(L16=6,K38,IF(L16=7,K39,IF(L16=8,K40,K41))))))))</f>
        <v>девять </v>
      </c>
      <c r="P16" s="92">
        <f>IF(AND(M16&gt;15,M16&lt;20),IF(M16=16,N39,IF(M16=17,N40,IF(M16=18,N41,IF(M16=19,N42,)))),"")</f>
      </c>
      <c r="Q16" s="92"/>
      <c r="R16" s="94"/>
      <c r="S16" s="92"/>
      <c r="T16" s="92"/>
    </row>
    <row r="17" spans="1:20" ht="12.75">
      <c r="A17" s="101"/>
      <c r="B17" s="94"/>
      <c r="C17" s="92"/>
      <c r="D17" s="94"/>
      <c r="E17" s="92">
        <f>B16+B15*10+B14*100</f>
        <v>0</v>
      </c>
      <c r="F17" s="92">
        <f>IF(E17=0,"",IF(B15=1,"миллиардов ",IF(B16=1,"милиард ",IF(OR(B16=2,B16=3,B16=4),"миллиарда ","милиардов "))))</f>
      </c>
      <c r="G17" s="92"/>
      <c r="H17" s="94"/>
      <c r="I17" s="92"/>
      <c r="J17" s="92"/>
      <c r="K17" s="101"/>
      <c r="L17" s="94"/>
      <c r="M17" s="92"/>
      <c r="N17" s="94"/>
      <c r="O17" s="92">
        <f>L16+L15*10+L14*100</f>
        <v>0</v>
      </c>
      <c r="P17" s="92">
        <f>IF(O17=0,"",IF(L15=1,"миллиардов ",IF(L16=1,"милиард ",IF(OR(L16=2,L16=3,L16=4),"миллиарда ","милиардов "))))</f>
      </c>
      <c r="Q17" s="92"/>
      <c r="R17" s="94"/>
      <c r="S17" s="92"/>
      <c r="T17" s="92"/>
    </row>
    <row r="18" spans="1:20" ht="12.75">
      <c r="A18" s="101">
        <f>TRUNC(A19/10)</f>
        <v>0</v>
      </c>
      <c r="B18" s="94">
        <f>TRUNC(RIGHT(A18))</f>
        <v>0</v>
      </c>
      <c r="C18" s="92">
        <f>B18</f>
        <v>0</v>
      </c>
      <c r="D18" s="92"/>
      <c r="E18" s="102" t="str">
        <f>IF(B18=1,E42,IF(B18=2,G34,IF(B18=3,G35,IF(B18=4,G36,IF(B18=5,G37,IF(B18=6,G38,IF(B18=7,G39,IF(B18=8,G40,G41))))))))</f>
        <v>девятьсот </v>
      </c>
      <c r="F18" s="92"/>
      <c r="G18" s="92"/>
      <c r="H18" s="94"/>
      <c r="I18" s="92"/>
      <c r="J18" s="92"/>
      <c r="K18" s="101">
        <f>TRUNC(K19/10)</f>
        <v>0</v>
      </c>
      <c r="L18" s="94">
        <f>TRUNC(RIGHT(K18))</f>
        <v>0</v>
      </c>
      <c r="M18" s="92">
        <f>L18</f>
        <v>0</v>
      </c>
      <c r="N18" s="92"/>
      <c r="O18" s="102" t="str">
        <f>IF(L18=1,O42,IF(L18=2,Q34,IF(L18=3,Q35,IF(L18=4,Q36,IF(L18=5,Q37,IF(L18=6,Q38,IF(L18=7,Q39,IF(L18=8,Q40,Q41))))))))</f>
        <v>девятьсот </v>
      </c>
      <c r="P18" s="92"/>
      <c r="Q18" s="92"/>
      <c r="R18" s="94"/>
      <c r="S18" s="92"/>
      <c r="T18" s="92"/>
    </row>
    <row r="19" spans="1:20" ht="12.75">
      <c r="A19" s="101">
        <f>TRUNC(A20/10)</f>
        <v>0</v>
      </c>
      <c r="B19" s="94">
        <f>TRUNC(RIGHT(A19))</f>
        <v>0</v>
      </c>
      <c r="C19" s="92">
        <f>IF(B19=1,"",B19)</f>
        <v>0</v>
      </c>
      <c r="D19" s="92"/>
      <c r="E19" s="103">
        <f>IF(OR(C19=0,B19=1),"",IF(B19=2,E34,IF(B19=3,E35,IF(B19=4,E36,IF(B19=5,E37,IF(B19=6,E38,IF(B19=7,E39,IF(B19=8,E40,E41))))))))</f>
      </c>
      <c r="F19" s="92"/>
      <c r="G19" s="83"/>
      <c r="H19" s="93"/>
      <c r="I19" s="83"/>
      <c r="J19" s="83"/>
      <c r="K19" s="101">
        <f>TRUNC(K20/10)</f>
        <v>0</v>
      </c>
      <c r="L19" s="94">
        <f>TRUNC(RIGHT(K19))</f>
        <v>0</v>
      </c>
      <c r="M19" s="92">
        <f>IF(L19=1,"",L19)</f>
        <v>0</v>
      </c>
      <c r="N19" s="92"/>
      <c r="O19" s="103">
        <f>IF(OR(M19=0,L19=1),"",IF(L19=2,O34,IF(L19=3,O35,IF(L19=4,O36,IF(L19=5,O37,IF(L19=6,O38,IF(L19=7,O39,IF(L19=8,O40,O41))))))))</f>
      </c>
      <c r="P19" s="92"/>
      <c r="Q19" s="83"/>
      <c r="R19" s="93"/>
      <c r="S19" s="83"/>
      <c r="T19" s="83"/>
    </row>
    <row r="20" spans="1:20" ht="12.75">
      <c r="A20" s="101">
        <f>TRUNC(A22/10)</f>
        <v>0</v>
      </c>
      <c r="B20" s="94">
        <f>TRUNC(RIGHT(A20))</f>
        <v>0</v>
      </c>
      <c r="C20" s="92">
        <f>IF(B19=1,B20+10,IF(B20=0,0,B20))</f>
        <v>0</v>
      </c>
      <c r="D20" s="92">
        <f>IF(AND(C20&gt;9,C20&lt;16),IF(C20=10,D33,IF(C20=11,D34,IF(C20=12,D35,IF(C20=13,D36,IF(C20=14,D37,IF(C20=15,D38,)))))),"")</f>
      </c>
      <c r="E20" s="103" t="str">
        <f>IF(B20=1,A33,IF(B20=2,A34,IF(B20=3,A35,IF(B20=4,A36,IF(B20=5,A37,IF(B20=6,A38,IF(B20=7,A39,IF(B20=8,A40,A41))))))))</f>
        <v>девять </v>
      </c>
      <c r="F20" s="92">
        <f>IF(AND(C20&gt;15,C20&lt;20),IF(C20=16,D39,IF(C20=17,D40,IF(C20=18,D41,IF(C20=19,D42,)))),"")</f>
      </c>
      <c r="G20" s="92"/>
      <c r="H20" s="92"/>
      <c r="I20" s="92"/>
      <c r="J20" s="92"/>
      <c r="K20" s="101">
        <f>TRUNC(K22/10)</f>
        <v>0</v>
      </c>
      <c r="L20" s="94">
        <f>TRUNC(RIGHT(K20))</f>
        <v>0</v>
      </c>
      <c r="M20" s="92">
        <f>IF(L19=1,L20+10,IF(L20=0,0,L20))</f>
        <v>0</v>
      </c>
      <c r="N20" s="92">
        <f>IF(AND(M20&gt;9,M20&lt;16),IF(M20=10,N33,IF(M20=11,N34,IF(M20=12,N35,IF(M20=13,N36,IF(M20=14,N37,IF(M20=15,N38,)))))),"")</f>
      </c>
      <c r="O20" s="103" t="str">
        <f>IF(L20=1,K33,IF(L20=2,K34,IF(L20=3,K35,IF(L20=4,K36,IF(L20=5,K37,IF(L20=6,K38,IF(L20=7,K39,IF(L20=8,K40,K41))))))))</f>
        <v>девять </v>
      </c>
      <c r="P20" s="92">
        <f>IF(AND(M20&gt;15,M20&lt;20),IF(M20=16,N39,IF(M20=17,N40,IF(M20=18,N41,IF(M20=19,N42,)))),"")</f>
      </c>
      <c r="Q20" s="92"/>
      <c r="R20" s="92"/>
      <c r="S20" s="92"/>
      <c r="T20" s="92"/>
    </row>
    <row r="21" spans="1:20" ht="12.75">
      <c r="A21" s="101"/>
      <c r="B21" s="94"/>
      <c r="C21" s="92"/>
      <c r="D21" s="92"/>
      <c r="E21" s="92">
        <f>B20+B19*10+B18*100</f>
        <v>0</v>
      </c>
      <c r="F21" s="92">
        <f>IF(E21=0,"",IF(B19=1,"миллионов ",IF(B20=1,"миллион ",IF(OR(B20=2,B20=3,B20=4),"миллиона ","миллионов "))))</f>
      </c>
      <c r="G21" s="92"/>
      <c r="H21" s="92"/>
      <c r="I21" s="92"/>
      <c r="J21" s="92"/>
      <c r="K21" s="101"/>
      <c r="L21" s="94"/>
      <c r="M21" s="92"/>
      <c r="N21" s="92"/>
      <c r="O21" s="92">
        <f>L20+L19*10+L18*100</f>
        <v>0</v>
      </c>
      <c r="P21" s="92">
        <f>IF(O21=0,"",IF(L19=1,"миллионов ",IF(L20=1,"миллион ",IF(OR(L20=2,L20=3,L20=4),"миллиона ","миллионов "))))</f>
      </c>
      <c r="Q21" s="92"/>
      <c r="R21" s="92"/>
      <c r="S21" s="92"/>
      <c r="T21" s="92"/>
    </row>
    <row r="22" spans="1:20" ht="12.75">
      <c r="A22" s="101">
        <f>TRUNC(A23/10)</f>
        <v>0</v>
      </c>
      <c r="B22" s="94">
        <f>TRUNC(RIGHT(A22))</f>
        <v>0</v>
      </c>
      <c r="C22" s="92">
        <f>B22</f>
        <v>0</v>
      </c>
      <c r="D22" s="92"/>
      <c r="E22" s="102" t="str">
        <f>IF(B22=1,E42,IF(B22=2,G34,IF(B22=3,G35,IF(B22=4,G36,IF(B22=5,G37,IF(B22=6,G38,IF(B22=7,G39,IF(B22=8,G40,G41))))))))</f>
        <v>девятьсот </v>
      </c>
      <c r="F22" s="92"/>
      <c r="G22" s="92"/>
      <c r="H22" s="92"/>
      <c r="I22" s="104"/>
      <c r="J22" s="92"/>
      <c r="K22" s="101">
        <f>TRUNC(K23/10)</f>
        <v>0</v>
      </c>
      <c r="L22" s="94">
        <f>TRUNC(RIGHT(K22))</f>
        <v>0</v>
      </c>
      <c r="M22" s="92">
        <f>L22</f>
        <v>0</v>
      </c>
      <c r="N22" s="92"/>
      <c r="O22" s="102" t="str">
        <f>IF(L22=1,O42,IF(L22=2,Q34,IF(L22=3,Q35,IF(L22=4,Q36,IF(L22=5,Q37,IF(L22=6,Q38,IF(L22=7,Q39,IF(L22=8,Q40,Q41))))))))</f>
        <v>девятьсот </v>
      </c>
      <c r="P22" s="92"/>
      <c r="Q22" s="92"/>
      <c r="R22" s="92"/>
      <c r="S22" s="104"/>
      <c r="T22" s="92"/>
    </row>
    <row r="23" spans="1:20" ht="12.75">
      <c r="A23" s="101">
        <f>TRUNC(A24/10)</f>
        <v>1</v>
      </c>
      <c r="B23" s="94">
        <f>TRUNC(RIGHT(A23))</f>
        <v>1</v>
      </c>
      <c r="C23" s="92">
        <f>IF(B23=1,"",B23)</f>
      </c>
      <c r="D23" s="92"/>
      <c r="E23" s="103">
        <f>IF(OR(C23=0,B23=1),"",IF(B23=2,E34,IF(B23=3,E35,IF(B23=4,E36,IF(B23=5,E37,IF(B23=6,E38,IF(B23=7,E39,IF(B23=8,E40,E41))))))))</f>
      </c>
      <c r="F23" s="92"/>
      <c r="G23" s="92"/>
      <c r="H23" s="92"/>
      <c r="I23" s="92"/>
      <c r="J23" s="92"/>
      <c r="K23" s="101">
        <f>TRUNC(K24/10)</f>
        <v>8</v>
      </c>
      <c r="L23" s="94">
        <f>TRUNC(RIGHT(K23))</f>
        <v>8</v>
      </c>
      <c r="M23" s="92">
        <f>IF(L23=1,"",L23)</f>
        <v>8</v>
      </c>
      <c r="N23" s="92"/>
      <c r="O23" s="103" t="str">
        <f>IF(OR(M23=0,L23=1),"",IF(L23=2,O34,IF(L23=3,O35,IF(L23=4,O36,IF(L23=5,O37,IF(L23=6,O38,IF(L23=7,O39,IF(L23=8,O40,O41))))))))</f>
        <v>восемьдесят </v>
      </c>
      <c r="P23" s="92"/>
      <c r="Q23" s="92"/>
      <c r="R23" s="92"/>
      <c r="S23" s="92"/>
      <c r="T23" s="92"/>
    </row>
    <row r="24" spans="1:20" ht="12.75">
      <c r="A24" s="101">
        <f>TRUNC(A26/10)</f>
        <v>13</v>
      </c>
      <c r="B24" s="94">
        <f>TRUNC(RIGHT(A24))</f>
        <v>3</v>
      </c>
      <c r="C24" s="92">
        <f>IF(B23=1,B24+10,IF(B24=0,0,B24))</f>
        <v>13</v>
      </c>
      <c r="D24" s="92" t="str">
        <f>IF(AND(C24&gt;9,C24&lt;16),IF(C24=10,D33,IF(C24=11,D34,IF(C24=12,D35,IF(C24=13,D36,IF(C24=14,D37,IF(C24=15,D38,)))))),"")</f>
        <v>тринадцать </v>
      </c>
      <c r="E24" s="103" t="str">
        <f>IF(B24=1,B33,IF(B24=2,B34,IF(B24=3,A35,IF(B24=4,A36,IF(B24=5,A37,IF(B24=6,A38,IF(B24=7,A39,IF(B24=8,A40,A41))))))))</f>
        <v>три </v>
      </c>
      <c r="F24" s="92">
        <f>IF(AND(C24&gt;15,C24&lt;20),IF(C24=16,D39,IF(C24=17,D40,IF(C24=18,D41,IF(C24=19,D42,)))),"")</f>
      </c>
      <c r="G24" s="92"/>
      <c r="H24" s="92"/>
      <c r="I24" s="92"/>
      <c r="J24" s="92"/>
      <c r="K24" s="101">
        <f>TRUNC(K26/10)</f>
        <v>83</v>
      </c>
      <c r="L24" s="94">
        <f>TRUNC(RIGHT(K24))</f>
        <v>3</v>
      </c>
      <c r="M24" s="92">
        <f>IF(L23=1,L24+10,IF(L24=0,0,L24))</f>
        <v>3</v>
      </c>
      <c r="N24" s="92">
        <f>IF(AND(M24&gt;9,M24&lt;16),IF(M24=10,N33,IF(M24=11,N34,IF(M24=12,N35,IF(M24=13,N36,IF(M24=14,N37,IF(M24=15,N38,)))))),"")</f>
      </c>
      <c r="O24" s="103" t="str">
        <f>IF(L24=1,L33,IF(L24=2,L34,IF(L24=3,K35,IF(L24=4,K36,IF(L24=5,K37,IF(L24=6,K38,IF(L24=7,K39,IF(L24=8,K40,K41))))))))</f>
        <v>три </v>
      </c>
      <c r="P24" s="92">
        <f>IF(AND(M24&gt;15,M24&lt;20),IF(M24=16,N39,IF(M24=17,N40,IF(M24=18,N41,IF(M24=19,N42,)))),"")</f>
      </c>
      <c r="Q24" s="92"/>
      <c r="R24" s="92"/>
      <c r="S24" s="92"/>
      <c r="T24" s="92"/>
    </row>
    <row r="25" spans="1:20" ht="12.75">
      <c r="A25" s="101"/>
      <c r="B25" s="94"/>
      <c r="C25" s="92"/>
      <c r="D25" s="92"/>
      <c r="E25" s="103">
        <f>B22*100+B23*10+B24</f>
        <v>13</v>
      </c>
      <c r="F25" s="92" t="str">
        <f>IF(E25=0,"",IF(B23=1,"тысяч ",IF(B24=1,"тысяча ",IF(OR(B24=2,B24=3,B24=4),"тысячи ","тысяч "))))</f>
        <v>тысяч </v>
      </c>
      <c r="G25" s="92"/>
      <c r="H25" s="92"/>
      <c r="I25" s="92"/>
      <c r="J25" s="92"/>
      <c r="K25" s="101"/>
      <c r="L25" s="94"/>
      <c r="M25" s="92"/>
      <c r="N25" s="92"/>
      <c r="O25" s="103">
        <f>L22*100+L23*10+L24</f>
        <v>83</v>
      </c>
      <c r="P25" s="92" t="str">
        <f>IF(O25=0,"",IF(L23=1,"тысяч ",IF(L24=1,"тысяча ",IF(OR(L24=2,L24=3,L24=4),"тысячи ","тысяч "))))</f>
        <v>тысячи </v>
      </c>
      <c r="Q25" s="92"/>
      <c r="R25" s="92"/>
      <c r="S25" s="92"/>
      <c r="T25" s="92"/>
    </row>
    <row r="26" spans="1:20" ht="12.75">
      <c r="A26" s="101">
        <f>TRUNC(A27/10)</f>
        <v>139</v>
      </c>
      <c r="B26" s="94">
        <f>TRUNC(RIGHT(A26))</f>
        <v>9</v>
      </c>
      <c r="C26" s="92">
        <f>B26</f>
        <v>9</v>
      </c>
      <c r="D26" s="92"/>
      <c r="E26" s="102" t="str">
        <f>IF(B26=1,E42,IF(B26=2,G34,IF(B26=3,G35,IF(B26=4,G36,IF(B26=5,G37,IF(B26=6,G38,IF(B26=7,G39,IF(B26=8,G40,G41))))))))</f>
        <v>девятьсот </v>
      </c>
      <c r="F26" s="92"/>
      <c r="G26" s="92"/>
      <c r="H26" s="92"/>
      <c r="I26" s="92"/>
      <c r="J26" s="92"/>
      <c r="K26" s="101">
        <f>TRUNC(K27/10)</f>
        <v>837</v>
      </c>
      <c r="L26" s="94">
        <f>TRUNC(RIGHT(K26))</f>
        <v>7</v>
      </c>
      <c r="M26" s="92">
        <f>L26</f>
        <v>7</v>
      </c>
      <c r="N26" s="92"/>
      <c r="O26" s="102" t="str">
        <f>IF(L26=1,O42,IF(L26=2,Q34,IF(L26=3,Q35,IF(L26=4,Q36,IF(L26=5,Q37,IF(L26=6,Q38,IF(L26=7,Q39,IF(L26=8,Q40,Q41))))))))</f>
        <v>семьсот </v>
      </c>
      <c r="P26" s="92"/>
      <c r="Q26" s="92"/>
      <c r="R26" s="92"/>
      <c r="S26" s="92"/>
      <c r="T26" s="92"/>
    </row>
    <row r="27" spans="1:20" ht="12.75">
      <c r="A27" s="101">
        <f>TRUNC(A28/10)</f>
        <v>1395</v>
      </c>
      <c r="B27" s="105">
        <f>TRUNC(RIGHT(A27))</f>
        <v>5</v>
      </c>
      <c r="C27" s="92">
        <f>IF(B27=1,"",B27)</f>
        <v>5</v>
      </c>
      <c r="D27" s="92"/>
      <c r="E27" s="103" t="str">
        <f>IF(OR(C27=0,B27=1),"",IF(C27=2,E34,IF(C27=3,E35,IF(C27=4,E36,IF(C27=5,E37,IF(C27=6,E38,IF(C27=7,E39,IF(C27=8,E40,E41))))))))</f>
        <v>пятьдесят </v>
      </c>
      <c r="F27" s="92"/>
      <c r="G27" s="94"/>
      <c r="H27" s="92"/>
      <c r="I27" s="92"/>
      <c r="J27" s="92"/>
      <c r="K27" s="101">
        <f>TRUNC(K28/10)</f>
        <v>8371</v>
      </c>
      <c r="L27" s="105">
        <f>TRUNC(RIGHT(K27))</f>
        <v>1</v>
      </c>
      <c r="M27" s="92">
        <f>IF(L27=1,"",L27)</f>
      </c>
      <c r="N27" s="92"/>
      <c r="O27" s="103">
        <f>IF(OR(M27=0,L27=1),"",IF(M27=2,O34,IF(M27=3,O35,IF(M27=4,O36,IF(M27=5,O37,IF(M27=6,O38,IF(M27=7,O39,IF(M27=8,O40,O41))))))))</f>
      </c>
      <c r="P27" s="92"/>
      <c r="Q27" s="94"/>
      <c r="R27" s="92"/>
      <c r="S27" s="92"/>
      <c r="T27" s="92"/>
    </row>
    <row r="28" spans="1:20" ht="12.75">
      <c r="A28" s="101">
        <f>E12</f>
        <v>13951</v>
      </c>
      <c r="B28" s="94">
        <f>TRUNC(RIGHT(A28))</f>
        <v>1</v>
      </c>
      <c r="C28" s="92">
        <f>IF(B27=1,B28+10,IF(B28=0,0,B28))</f>
        <v>1</v>
      </c>
      <c r="D28" s="92">
        <f>IF(AND(C28&gt;9,C28&lt;16),IF(C28=10,D33,IF(C28=11,D34,IF(C28=12,D35,IF(C28=13,D36,IF(C28=14,D37,IF(C28=15,D38,)))))),"")</f>
      </c>
      <c r="E28" s="103" t="str">
        <f>IF(B28=1,A33,IF(B28=2,A34,IF(B28=3,A35,IF(B28=4,A36,IF(B28=5,A37,IF(B28=6,A38,IF(B28=7,A39,IF(B28=8,A40,A41))))))))</f>
        <v>один </v>
      </c>
      <c r="F28" s="92">
        <f>IF(AND(C28&gt;15,C28&lt;20),IF(C28=16,D39,IF(C28=17,D40,IF(C28=18,D41,IF(C28=19,D42,)))),"")</f>
      </c>
      <c r="G28" s="94"/>
      <c r="H28" s="92"/>
      <c r="I28" s="92"/>
      <c r="J28" s="92"/>
      <c r="K28" s="101">
        <f>O12</f>
        <v>83712</v>
      </c>
      <c r="L28" s="94">
        <f>TRUNC(RIGHT(K28))</f>
        <v>2</v>
      </c>
      <c r="M28" s="92">
        <f>IF(L27=1,L28+10,IF(L28=0,0,L28))</f>
        <v>12</v>
      </c>
      <c r="N28" s="92" t="str">
        <f>IF(AND(M28&gt;9,M28&lt;16),IF(M28=10,N33,IF(M28=11,N34,IF(M28=12,N35,IF(M28=13,N36,IF(M28=14,N37,IF(M28=15,N38,)))))),"")</f>
        <v>двенадцать </v>
      </c>
      <c r="O28" s="103" t="str">
        <f>IF(L28=1,K33,IF(L28=2,K34,IF(L28=3,K35,IF(L28=4,K36,IF(L28=5,K37,IF(L28=6,K38,IF(L28=7,K39,IF(L28=8,K40,K41))))))))</f>
        <v>два </v>
      </c>
      <c r="P28" s="92">
        <f>IF(AND(M28&gt;15,M28&lt;20),IF(M28=16,N39,IF(M28=17,N40,IF(M28=18,N41,IF(M28=19,N42,)))),"")</f>
      </c>
      <c r="Q28" s="94"/>
      <c r="R28" s="92"/>
      <c r="S28" s="92"/>
      <c r="T28" s="92"/>
    </row>
    <row r="29" spans="1:20" ht="12.75">
      <c r="A29" s="99"/>
      <c r="B29" s="105"/>
      <c r="C29" s="94"/>
      <c r="D29" s="92"/>
      <c r="E29" s="103">
        <f>B26*100+B27*10+B28</f>
        <v>951</v>
      </c>
      <c r="F29" s="92">
        <f>IF(E29+E25+E21+E17=0,"ноль",IF(C28=1,"",IF(OR(C28=2,C28=3,C28=4),"","")))</f>
      </c>
      <c r="G29" s="94"/>
      <c r="H29" s="92"/>
      <c r="I29" s="92"/>
      <c r="J29" s="92"/>
      <c r="K29" s="99"/>
      <c r="L29" s="105"/>
      <c r="M29" s="94"/>
      <c r="N29" s="92"/>
      <c r="O29" s="103">
        <f>L26*100+L27*10+L28</f>
        <v>712</v>
      </c>
      <c r="P29" s="92">
        <f>IF(O29+O25+O21+O17=0,"ноль",IF(M28=1,"",IF(OR(M28=2,M28=3,M28=4),"","")))</f>
      </c>
      <c r="Q29" s="94"/>
      <c r="R29" s="92"/>
      <c r="S29" s="92"/>
      <c r="T29" s="92"/>
    </row>
    <row r="30" spans="1:20" ht="12.75">
      <c r="A30" s="101">
        <f>TRUNC(A31/10)</f>
        <v>0</v>
      </c>
      <c r="B30" s="105">
        <f>TRUNC(RIGHT(A30))</f>
        <v>0</v>
      </c>
      <c r="C30" s="92">
        <f>IF(B30=1,"",B30)</f>
        <v>0</v>
      </c>
      <c r="D30" s="92"/>
      <c r="E30" s="103">
        <f>IF(OR(C30=1,C30=0),"",IF(C30=2,E34,IF(C30=3,E35,IF(C30=4,E36,IF(C30=5,E37,IF(C30=6,E38,IF(C30=7,E39,IF(C30=8,E40,E41))))))))</f>
      </c>
      <c r="F30" s="92"/>
      <c r="G30" s="92"/>
      <c r="H30" s="94"/>
      <c r="I30" s="92"/>
      <c r="J30" s="92"/>
      <c r="K30" s="101">
        <f>TRUNC(K31/10)</f>
        <v>0</v>
      </c>
      <c r="L30" s="105">
        <f>TRUNC(RIGHT(K30))</f>
        <v>0</v>
      </c>
      <c r="M30" s="92">
        <f>IF(L30=1,"",L30)</f>
        <v>0</v>
      </c>
      <c r="N30" s="92"/>
      <c r="O30" s="103">
        <f>IF(OR(M30=1,M30=0),"",IF(M30=2,O34,IF(M30=3,O35,IF(M30=4,O36,IF(M30=5,O37,IF(M30=6,O38,IF(M30=7,O39,IF(M30=8,O40,O41))))))))</f>
      </c>
      <c r="P30" s="92"/>
      <c r="Q30" s="92"/>
      <c r="R30" s="94"/>
      <c r="S30" s="92"/>
      <c r="T30" s="92"/>
    </row>
    <row r="31" spans="1:20" ht="12.75">
      <c r="A31" s="101">
        <f>ROUND(E1,2)*100-ROUND(E12,2)*100</f>
        <v>0</v>
      </c>
      <c r="B31" s="94">
        <f>TRUNC(RIGHT(A31))</f>
        <v>0</v>
      </c>
      <c r="C31" s="92">
        <f>IF(B30=1,B31+10,IF(B31=0,0,B31))</f>
        <v>0</v>
      </c>
      <c r="D31" s="92">
        <f>IF(AND(C31&gt;9,C31&lt;16),IF(C31=10,D33,IF(C31=11,D34,IF(C31=12,D35,IF(C31=13,D36,IF(C31=14,D37,IF(C31=15,D38,)))))),"")</f>
      </c>
      <c r="E31" s="103" t="str">
        <f>IF(C31=1,B33,IF(C31=2,B34,IF(C31=3,A35,IF(C31=4,A36,IF(C31=5,A37,IF(C31=6,A38,IF(C31=7,A39,IF(C31=8,A40,A41))))))))</f>
        <v>девять </v>
      </c>
      <c r="F31" s="92">
        <f>IF(AND(C31&gt;15,C31&lt;20),IF(C31=16,D39,IF(C31=17,D40,IF(C31=18,D41,IF(C31=19,D42,)))),"")</f>
      </c>
      <c r="G31" s="92"/>
      <c r="H31" s="94"/>
      <c r="I31" s="92"/>
      <c r="J31" s="92"/>
      <c r="K31" s="101">
        <f>ROUND(O1,2)*100-ROUND(O12,2)*100</f>
        <v>0</v>
      </c>
      <c r="L31" s="94">
        <f>TRUNC(RIGHT(K31))</f>
        <v>0</v>
      </c>
      <c r="M31" s="92">
        <f>IF(L30=1,L31+10,IF(L31=0,0,L31))</f>
        <v>0</v>
      </c>
      <c r="N31" s="92">
        <f>IF(AND(M31&gt;9,M31&lt;16),IF(M31=10,N33,IF(M31=11,N34,IF(M31=12,N35,IF(M31=13,N36,IF(M31=14,N37,IF(M31=15,N38,)))))),"")</f>
      </c>
      <c r="O31" s="103" t="str">
        <f>IF(M31=1,L33,IF(M31=2,L34,IF(M31=3,K35,IF(M31=4,K36,IF(M31=5,K37,IF(M31=6,K38,IF(M31=7,K39,IF(M31=8,K40,K41))))))))</f>
        <v>девять </v>
      </c>
      <c r="P31" s="92">
        <f>IF(AND(M31&gt;15,M31&lt;20),IF(M31=16,N39,IF(M31=17,N40,IF(M31=18,N41,IF(M31=19,N42,)))),"")</f>
      </c>
      <c r="Q31" s="92"/>
      <c r="R31" s="94"/>
      <c r="S31" s="92"/>
      <c r="T31" s="92"/>
    </row>
    <row r="32" spans="1:20" ht="12.75">
      <c r="A32" s="92"/>
      <c r="B32" s="92"/>
      <c r="C32" s="92"/>
      <c r="D32" s="92"/>
      <c r="E32" s="103">
        <f>B30*10+B31</f>
        <v>0</v>
      </c>
      <c r="F32" s="92" t="str">
        <f>IF(E32=0," ",IF(C31=1,"копейка ",IF(OR(C31=2,C31=3,C31=4),"копейки ","копеек ")))</f>
        <v> </v>
      </c>
      <c r="G32" s="92"/>
      <c r="H32" s="94"/>
      <c r="I32" s="92"/>
      <c r="J32" s="92"/>
      <c r="K32" s="92"/>
      <c r="L32" s="92"/>
      <c r="M32" s="92"/>
      <c r="N32" s="92"/>
      <c r="O32" s="103">
        <f>L30*10+L31</f>
        <v>0</v>
      </c>
      <c r="P32" s="92" t="str">
        <f>IF(O32=0," ",IF(M31=1,"копейка ",IF(OR(M31=2,M31=3,M31=4),"копейки ","копеек ")))</f>
        <v> </v>
      </c>
      <c r="Q32" s="92"/>
      <c r="R32" s="94"/>
      <c r="S32" s="92"/>
      <c r="T32" s="92"/>
    </row>
    <row r="33" spans="1:20" ht="12.75">
      <c r="A33" s="92" t="s">
        <v>8</v>
      </c>
      <c r="B33" s="92" t="s">
        <v>9</v>
      </c>
      <c r="C33" s="92"/>
      <c r="D33" s="92" t="s">
        <v>10</v>
      </c>
      <c r="E33" s="92"/>
      <c r="F33" s="92"/>
      <c r="G33" s="92"/>
      <c r="H33" s="94"/>
      <c r="I33" s="92"/>
      <c r="J33" s="92"/>
      <c r="K33" s="92" t="s">
        <v>8</v>
      </c>
      <c r="L33" s="92" t="s">
        <v>9</v>
      </c>
      <c r="M33" s="92"/>
      <c r="N33" s="92" t="s">
        <v>10</v>
      </c>
      <c r="O33" s="92"/>
      <c r="P33" s="92"/>
      <c r="Q33" s="92"/>
      <c r="R33" s="94"/>
      <c r="S33" s="92"/>
      <c r="T33" s="92"/>
    </row>
    <row r="34" spans="1:20" ht="12.75">
      <c r="A34" s="92" t="s">
        <v>11</v>
      </c>
      <c r="B34" s="92" t="s">
        <v>12</v>
      </c>
      <c r="C34" s="92"/>
      <c r="D34" s="92" t="s">
        <v>13</v>
      </c>
      <c r="E34" s="92" t="s">
        <v>14</v>
      </c>
      <c r="F34" s="92"/>
      <c r="G34" s="92" t="s">
        <v>15</v>
      </c>
      <c r="H34" s="92"/>
      <c r="I34" s="92"/>
      <c r="J34" s="92"/>
      <c r="K34" s="92" t="s">
        <v>11</v>
      </c>
      <c r="L34" s="92" t="s">
        <v>12</v>
      </c>
      <c r="M34" s="92"/>
      <c r="N34" s="92" t="s">
        <v>13</v>
      </c>
      <c r="O34" s="92" t="s">
        <v>14</v>
      </c>
      <c r="P34" s="92"/>
      <c r="Q34" s="92" t="s">
        <v>15</v>
      </c>
      <c r="R34" s="92"/>
      <c r="S34" s="92"/>
      <c r="T34" s="92"/>
    </row>
    <row r="35" spans="1:20" ht="12.75">
      <c r="A35" s="92" t="s">
        <v>16</v>
      </c>
      <c r="B35" s="92"/>
      <c r="C35" s="92"/>
      <c r="D35" s="92" t="s">
        <v>17</v>
      </c>
      <c r="E35" s="92" t="s">
        <v>18</v>
      </c>
      <c r="F35" s="92"/>
      <c r="G35" s="92" t="s">
        <v>19</v>
      </c>
      <c r="H35" s="92"/>
      <c r="I35" s="92"/>
      <c r="J35" s="92"/>
      <c r="K35" s="92" t="s">
        <v>16</v>
      </c>
      <c r="L35" s="92"/>
      <c r="M35" s="92"/>
      <c r="N35" s="92" t="s">
        <v>17</v>
      </c>
      <c r="O35" s="92" t="s">
        <v>18</v>
      </c>
      <c r="P35" s="92"/>
      <c r="Q35" s="92" t="s">
        <v>19</v>
      </c>
      <c r="R35" s="92"/>
      <c r="S35" s="92"/>
      <c r="T35" s="92"/>
    </row>
    <row r="36" spans="1:20" ht="12.75">
      <c r="A36" s="92" t="s">
        <v>20</v>
      </c>
      <c r="B36" s="92"/>
      <c r="C36" s="92"/>
      <c r="D36" s="92" t="s">
        <v>21</v>
      </c>
      <c r="E36" s="92" t="s">
        <v>22</v>
      </c>
      <c r="F36" s="92"/>
      <c r="G36" s="92" t="s">
        <v>23</v>
      </c>
      <c r="H36" s="92"/>
      <c r="I36" s="92"/>
      <c r="J36" s="92"/>
      <c r="K36" s="92" t="s">
        <v>20</v>
      </c>
      <c r="L36" s="92"/>
      <c r="M36" s="92"/>
      <c r="N36" s="92" t="s">
        <v>21</v>
      </c>
      <c r="O36" s="92" t="s">
        <v>22</v>
      </c>
      <c r="P36" s="92"/>
      <c r="Q36" s="92" t="s">
        <v>23</v>
      </c>
      <c r="R36" s="92"/>
      <c r="S36" s="92"/>
      <c r="T36" s="92"/>
    </row>
    <row r="37" spans="1:20" ht="12.75">
      <c r="A37" s="92" t="s">
        <v>24</v>
      </c>
      <c r="B37" s="92"/>
      <c r="C37" s="92"/>
      <c r="D37" s="92" t="s">
        <v>25</v>
      </c>
      <c r="E37" s="92" t="s">
        <v>26</v>
      </c>
      <c r="F37" s="92"/>
      <c r="G37" s="92" t="s">
        <v>27</v>
      </c>
      <c r="H37" s="92"/>
      <c r="I37" s="92"/>
      <c r="J37" s="92"/>
      <c r="K37" s="92" t="s">
        <v>24</v>
      </c>
      <c r="L37" s="92"/>
      <c r="M37" s="92"/>
      <c r="N37" s="92" t="s">
        <v>25</v>
      </c>
      <c r="O37" s="92" t="s">
        <v>26</v>
      </c>
      <c r="P37" s="92"/>
      <c r="Q37" s="92" t="s">
        <v>27</v>
      </c>
      <c r="R37" s="92"/>
      <c r="S37" s="92"/>
      <c r="T37" s="92"/>
    </row>
    <row r="38" spans="1:20" ht="12.75">
      <c r="A38" s="92" t="s">
        <v>28</v>
      </c>
      <c r="B38" s="92"/>
      <c r="C38" s="92"/>
      <c r="D38" s="92" t="s">
        <v>29</v>
      </c>
      <c r="E38" s="92" t="s">
        <v>30</v>
      </c>
      <c r="F38" s="92"/>
      <c r="G38" s="92" t="s">
        <v>31</v>
      </c>
      <c r="H38" s="92"/>
      <c r="I38" s="92"/>
      <c r="J38" s="92"/>
      <c r="K38" s="92" t="s">
        <v>28</v>
      </c>
      <c r="L38" s="92"/>
      <c r="M38" s="92"/>
      <c r="N38" s="92" t="s">
        <v>29</v>
      </c>
      <c r="O38" s="92" t="s">
        <v>30</v>
      </c>
      <c r="P38" s="92"/>
      <c r="Q38" s="92" t="s">
        <v>31</v>
      </c>
      <c r="R38" s="92"/>
      <c r="S38" s="92"/>
      <c r="T38" s="92"/>
    </row>
    <row r="39" spans="1:20" ht="12.75">
      <c r="A39" s="92" t="s">
        <v>32</v>
      </c>
      <c r="B39" s="92"/>
      <c r="C39" s="92"/>
      <c r="D39" s="92" t="s">
        <v>33</v>
      </c>
      <c r="E39" s="92" t="s">
        <v>34</v>
      </c>
      <c r="F39" s="92"/>
      <c r="G39" s="92" t="s">
        <v>35</v>
      </c>
      <c r="H39" s="92"/>
      <c r="I39" s="92"/>
      <c r="J39" s="92"/>
      <c r="K39" s="92" t="s">
        <v>32</v>
      </c>
      <c r="L39" s="92"/>
      <c r="M39" s="92"/>
      <c r="N39" s="92" t="s">
        <v>33</v>
      </c>
      <c r="O39" s="92" t="s">
        <v>34</v>
      </c>
      <c r="P39" s="92"/>
      <c r="Q39" s="92" t="s">
        <v>35</v>
      </c>
      <c r="R39" s="92"/>
      <c r="S39" s="92"/>
      <c r="T39" s="92"/>
    </row>
    <row r="40" spans="1:20" ht="12.75">
      <c r="A40" s="92" t="s">
        <v>36</v>
      </c>
      <c r="B40" s="92"/>
      <c r="C40" s="92"/>
      <c r="D40" s="92" t="s">
        <v>37</v>
      </c>
      <c r="E40" s="92" t="s">
        <v>38</v>
      </c>
      <c r="F40" s="92"/>
      <c r="G40" s="92" t="s">
        <v>39</v>
      </c>
      <c r="H40" s="92"/>
      <c r="I40" s="92"/>
      <c r="J40" s="92"/>
      <c r="K40" s="92" t="s">
        <v>36</v>
      </c>
      <c r="L40" s="92"/>
      <c r="M40" s="92"/>
      <c r="N40" s="92" t="s">
        <v>37</v>
      </c>
      <c r="O40" s="92" t="s">
        <v>38</v>
      </c>
      <c r="P40" s="92"/>
      <c r="Q40" s="92" t="s">
        <v>39</v>
      </c>
      <c r="R40" s="92"/>
      <c r="S40" s="92"/>
      <c r="T40" s="92"/>
    </row>
    <row r="41" spans="1:20" ht="12.75">
      <c r="A41" s="92" t="s">
        <v>40</v>
      </c>
      <c r="B41" s="92"/>
      <c r="C41" s="92"/>
      <c r="D41" s="92" t="s">
        <v>41</v>
      </c>
      <c r="E41" s="92" t="s">
        <v>42</v>
      </c>
      <c r="F41" s="92"/>
      <c r="G41" s="92" t="s">
        <v>43</v>
      </c>
      <c r="H41" s="92"/>
      <c r="I41" s="92"/>
      <c r="J41" s="92"/>
      <c r="K41" s="92" t="s">
        <v>40</v>
      </c>
      <c r="L41" s="92"/>
      <c r="M41" s="92"/>
      <c r="N41" s="92" t="s">
        <v>41</v>
      </c>
      <c r="O41" s="92" t="s">
        <v>42</v>
      </c>
      <c r="P41" s="92"/>
      <c r="Q41" s="92" t="s">
        <v>43</v>
      </c>
      <c r="R41" s="92"/>
      <c r="S41" s="92"/>
      <c r="T41" s="92"/>
    </row>
    <row r="42" spans="1:20" ht="12.75">
      <c r="A42" s="92"/>
      <c r="B42" s="92"/>
      <c r="C42" s="92"/>
      <c r="D42" s="92" t="s">
        <v>44</v>
      </c>
      <c r="E42" s="92" t="s">
        <v>45</v>
      </c>
      <c r="F42" s="92"/>
      <c r="G42" s="92"/>
      <c r="H42" s="94"/>
      <c r="I42" s="92"/>
      <c r="J42" s="92"/>
      <c r="K42" s="92"/>
      <c r="L42" s="92"/>
      <c r="M42" s="92"/>
      <c r="N42" s="92" t="s">
        <v>44</v>
      </c>
      <c r="O42" s="92" t="s">
        <v>45</v>
      </c>
      <c r="P42" s="92"/>
      <c r="Q42" s="92"/>
      <c r="R42" s="94"/>
      <c r="S42" s="92"/>
      <c r="T42" s="92"/>
    </row>
  </sheetData>
  <sheetProtection/>
  <mergeCells count="2">
    <mergeCell ref="H6:J10"/>
    <mergeCell ref="R6:T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2018-05-29T08:30:08Z</cp:lastPrinted>
  <dcterms:created xsi:type="dcterms:W3CDTF">2003-10-18T11:05:50Z</dcterms:created>
  <dcterms:modified xsi:type="dcterms:W3CDTF">2021-03-17T08:43:14Z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