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35" yWindow="1350" windowWidth="12120" windowHeight="9150" tabRatio="902" activeTab="0"/>
  </bookViews>
  <sheets>
    <sheet name="Контрагенты" sheetId="1" r:id="rId1"/>
    <sheet name="ТТН-1 (альбомный)" sheetId="2" r:id="rId2"/>
    <sheet name="ТТН-1 (книжный)" sheetId="3" r:id="rId3"/>
    <sheet name="Лист2" sheetId="4" state="hidden" r:id="rId4"/>
    <sheet name="Лист3" sheetId="5" state="hidden" r:id="rId5"/>
  </sheets>
  <definedNames>
    <definedName name="вал">'ТТН-1 (альбомный)'!$I$121</definedName>
    <definedName name="_xlnm.Print_Area" localSheetId="0">'Контрагенты'!$C$3:$H$151</definedName>
    <definedName name="_xlnm.Print_Area" localSheetId="1">'ТТН-1 (альбомный)'!$C$3:$BB$91</definedName>
    <definedName name="_xlnm.Print_Area" localSheetId="2">'ТТН-1 (книжный)'!$C$3:$BB$95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C3" authorId="0">
      <text>
        <r>
          <rPr>
            <b/>
            <sz val="8"/>
            <rFont val="Tahoma"/>
            <family val="2"/>
          </rPr>
          <t>Выберите порядковый номер грузополучателя 
из раскрывающегося списка и данные о грузополучателе в ТТН будут заполнятся автоматически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TaKo</author>
    <author>shimanovich</author>
  </authors>
  <commentList>
    <comment ref="Z13" authorId="0">
      <text>
        <r>
          <rPr>
            <b/>
            <sz val="8"/>
            <rFont val="Tahoma"/>
            <family val="2"/>
          </rPr>
          <t>Введите Код УНН грузоотправителя</t>
        </r>
        <r>
          <rPr>
            <sz val="8"/>
            <rFont val="Tahoma"/>
            <family val="2"/>
          </rPr>
          <t xml:space="preserve">
</t>
        </r>
      </text>
    </comment>
    <comment ref="AH13" authorId="0">
      <text>
        <r>
          <rPr>
            <b/>
            <sz val="8"/>
            <rFont val="Tahoma"/>
            <family val="2"/>
          </rPr>
          <t>Введите Код УНН грузополучателя</t>
        </r>
      </text>
    </comment>
    <comment ref="AP13" authorId="0">
      <text>
        <r>
          <rPr>
            <b/>
            <sz val="8"/>
            <rFont val="Tahoma"/>
            <family val="2"/>
          </rPr>
          <t>Введите Код УНН заказчика (плательщика)</t>
        </r>
        <r>
          <rPr>
            <sz val="8"/>
            <rFont val="Tahoma"/>
            <family val="2"/>
          </rPr>
          <t xml:space="preserve">
</t>
        </r>
      </text>
    </comment>
    <comment ref="AP3" authorId="1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финансов Республики Беларусь от 28 апреля 2018 г. № 26</t>
        </r>
      </text>
    </comment>
  </commentList>
</comments>
</file>

<file path=xl/comments3.xml><?xml version="1.0" encoding="utf-8"?>
<comments xmlns="http://schemas.openxmlformats.org/spreadsheetml/2006/main">
  <authors>
    <author>TaKo</author>
    <author>kozel</author>
    <author>shimanovich</author>
  </authors>
  <commentList>
    <comment ref="R11" authorId="0">
      <text>
        <r>
          <rPr>
            <b/>
            <sz val="8"/>
            <rFont val="Tahoma"/>
            <family val="2"/>
          </rPr>
          <t>Введите Код УНН грузоотправителя</t>
        </r>
        <r>
          <rPr>
            <sz val="8"/>
            <rFont val="Tahoma"/>
            <family val="2"/>
          </rPr>
          <t xml:space="preserve">
</t>
        </r>
      </text>
    </comment>
    <comment ref="X11" authorId="1">
      <text>
        <r>
          <rPr>
            <b/>
            <sz val="8"/>
            <rFont val="Tahoma"/>
            <family val="0"/>
          </rPr>
          <t>Введите Код УНН грузополучателя</t>
        </r>
        <r>
          <rPr>
            <sz val="8"/>
            <rFont val="Tahoma"/>
            <family val="0"/>
          </rPr>
          <t xml:space="preserve">
</t>
        </r>
      </text>
    </comment>
    <comment ref="AD11" authorId="0">
      <text>
        <r>
          <rPr>
            <b/>
            <sz val="8"/>
            <rFont val="Tahoma"/>
            <family val="2"/>
          </rPr>
          <t>Введите Код УНН 
заказчика автомобильной перевозки (плательщика)</t>
        </r>
        <r>
          <rPr>
            <sz val="8"/>
            <rFont val="Tahoma"/>
            <family val="2"/>
          </rPr>
          <t xml:space="preserve">
</t>
        </r>
      </text>
    </comment>
    <comment ref="Y57" authorId="1">
      <text>
        <r>
          <rPr>
            <b/>
            <sz val="8"/>
            <rFont val="Tahoma"/>
            <family val="2"/>
          </rPr>
          <t>Введите еденицу измерения массы груза</t>
        </r>
        <r>
          <rPr>
            <sz val="8"/>
            <rFont val="Tahoma"/>
            <family val="0"/>
          </rPr>
          <t xml:space="preserve">
</t>
        </r>
      </text>
    </comment>
    <comment ref="D21" authorId="1">
      <text>
        <r>
          <rPr>
            <b/>
            <sz val="8"/>
            <rFont val="Tahoma"/>
            <family val="2"/>
          </rPr>
          <t>Введите дату</t>
        </r>
        <r>
          <rPr>
            <sz val="8"/>
            <rFont val="Tahoma"/>
            <family val="0"/>
          </rPr>
          <t xml:space="preserve">
</t>
        </r>
      </text>
    </comment>
    <comment ref="G21" authorId="1">
      <text>
        <r>
          <rPr>
            <b/>
            <sz val="8"/>
            <rFont val="Tahoma"/>
            <family val="2"/>
          </rPr>
          <t>Введите месяц</t>
        </r>
        <r>
          <rPr>
            <sz val="8"/>
            <rFont val="Tahoma"/>
            <family val="0"/>
          </rPr>
          <t xml:space="preserve">
</t>
        </r>
      </text>
    </comment>
    <comment ref="L21" authorId="1">
      <text>
        <r>
          <rPr>
            <b/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BB3" authorId="2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финансов Республики Беларусь от 28 апреля 2018 г. № 26</t>
        </r>
      </text>
    </comment>
  </commentList>
</comments>
</file>

<file path=xl/sharedStrings.xml><?xml version="1.0" encoding="utf-8"?>
<sst xmlns="http://schemas.openxmlformats.org/spreadsheetml/2006/main" count="879" uniqueCount="208">
  <si>
    <t>ИТОГО</t>
  </si>
  <si>
    <t>(прописью)</t>
  </si>
  <si>
    <t>Автомобиль</t>
  </si>
  <si>
    <t>К путевому листу №</t>
  </si>
  <si>
    <t>Грузоотправитель</t>
  </si>
  <si>
    <t>Грузополучатель</t>
  </si>
  <si>
    <t>Пункт погрузки</t>
  </si>
  <si>
    <t>(адрес)</t>
  </si>
  <si>
    <t>Переадресовка</t>
  </si>
  <si>
    <t>Прицеп</t>
  </si>
  <si>
    <t>Ставка НДС, %</t>
  </si>
  <si>
    <t>выданной</t>
  </si>
  <si>
    <t>Операция</t>
  </si>
  <si>
    <t>Исполнитель</t>
  </si>
  <si>
    <t>Код</t>
  </si>
  <si>
    <t>Подпись</t>
  </si>
  <si>
    <t>наименование</t>
  </si>
  <si>
    <t>время</t>
  </si>
  <si>
    <t>Дополнительные операции</t>
  </si>
  <si>
    <t>простоя</t>
  </si>
  <si>
    <t>убытия</t>
  </si>
  <si>
    <t>прибытия</t>
  </si>
  <si>
    <t>Дата, время (ч, мин)</t>
  </si>
  <si>
    <t>Погрузка</t>
  </si>
  <si>
    <t>Разгрузка</t>
  </si>
  <si>
    <t>Транспортные услуги</t>
  </si>
  <si>
    <t>всего</t>
  </si>
  <si>
    <t>Расстояние перевозки по группам дорог, км</t>
  </si>
  <si>
    <t>Поправочный коэффициент</t>
  </si>
  <si>
    <t>Штраф</t>
  </si>
  <si>
    <t>Расчет стоимости</t>
  </si>
  <si>
    <t>За тонны</t>
  </si>
  <si>
    <t>За расстояние перевозки</t>
  </si>
  <si>
    <t>За транспортные услуги</t>
  </si>
  <si>
    <t>погрузка</t>
  </si>
  <si>
    <t>разгрузка</t>
  </si>
  <si>
    <t>Прочие доплаты</t>
  </si>
  <si>
    <t>К оплате</t>
  </si>
  <si>
    <t>итого</t>
  </si>
  <si>
    <t>в том числе ТЭП</t>
  </si>
  <si>
    <t>По заказу</t>
  </si>
  <si>
    <t>Выполнено</t>
  </si>
  <si>
    <t>Расценка</t>
  </si>
  <si>
    <t>Таксировка</t>
  </si>
  <si>
    <t>Заглавная без НДС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</si>
  <si>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</si>
  <si>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</si>
  <si>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</si>
  <si>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</si>
  <si>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</si>
  <si>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</si>
  <si>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</si>
  <si>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</si>
  <si>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</si>
  <si>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</si>
  <si>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</si>
  <si>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</si>
  <si>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</si>
  <si>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</si>
  <si>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</si>
  <si>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</si>
  <si>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</si>
  <si>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</si>
  <si>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</si>
  <si>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</si>
  <si>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</si>
  <si>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</si>
  <si>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</si>
  <si>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</si>
  <si>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</si>
  <si>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</si>
  <si>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</si>
  <si>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</si>
  <si>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</si>
  <si>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</si>
  <si>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</si>
  <si>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</si>
  <si>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</si>
  <si>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</si>
  <si>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</si>
  <si>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</si>
  <si>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</si>
  <si>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</si>
  <si>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</si>
  <si>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</si>
  <si>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</si>
  <si>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</si>
  <si>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Заказчик автомобильной перевозки (плательщик)</t>
  </si>
  <si>
    <t>УНП</t>
  </si>
  <si>
    <t>Серия</t>
  </si>
  <si>
    <t>ТОВАРНО-ТРАНСПОРТНАЯ НАКЛАДНАЯ</t>
  </si>
  <si>
    <t>"</t>
  </si>
  <si>
    <t>г.</t>
  </si>
  <si>
    <t>(марка, государственный номер)</t>
  </si>
  <si>
    <t>(наименование, адрес)</t>
  </si>
  <si>
    <t xml:space="preserve">Основание отпуска </t>
  </si>
  <si>
    <t xml:space="preserve">Пункт разгрузки </t>
  </si>
  <si>
    <t>I. ТОВАРНЫЙ РАЗДЕЛ</t>
  </si>
  <si>
    <t>Количество</t>
  </si>
  <si>
    <t>Наименование товара</t>
  </si>
  <si>
    <t>Количество грузовых мест</t>
  </si>
  <si>
    <t>Масса груза</t>
  </si>
  <si>
    <t>Примечание</t>
  </si>
  <si>
    <t xml:space="preserve">Всего сумма НДС </t>
  </si>
  <si>
    <t xml:space="preserve">Всего стоимость с НДС </t>
  </si>
  <si>
    <t xml:space="preserve">Всего масса груза </t>
  </si>
  <si>
    <t xml:space="preserve">Всего количество грузовых мест </t>
  </si>
  <si>
    <t xml:space="preserve">Отпуск разрешил </t>
  </si>
  <si>
    <t xml:space="preserve">Сдал грузоотправитель </t>
  </si>
  <si>
    <t>(должность, фамилия, инициалы, подпись)</t>
  </si>
  <si>
    <t xml:space="preserve">№ пломбы </t>
  </si>
  <si>
    <t xml:space="preserve">Товар к перевозке принял </t>
  </si>
  <si>
    <t xml:space="preserve">по доверенности </t>
  </si>
  <si>
    <t>(номер, дата)</t>
  </si>
  <si>
    <t>(наименование организации)</t>
  </si>
  <si>
    <t xml:space="preserve">Принял грузополучатель </t>
  </si>
  <si>
    <t>II. ПОГРУЗОЧНО-РАЗГРУЗОЧНЫЕ ОПЕРАЦИИ</t>
  </si>
  <si>
    <t>Способ (ручной, механизированный)</t>
  </si>
  <si>
    <t>III. ПРОЧИЕ СВЕДЕНИЯ (заполняются перевозчиком)</t>
  </si>
  <si>
    <t>I</t>
  </si>
  <si>
    <t>II</t>
  </si>
  <si>
    <t>III</t>
  </si>
  <si>
    <t>в городе</t>
  </si>
  <si>
    <t>расценки 
водителю</t>
  </si>
  <si>
    <t>основной 
тариф</t>
  </si>
  <si>
    <t>За спе-циальный транспорт</t>
  </si>
  <si>
    <t>Сверхнормативный 
простой</t>
  </si>
  <si>
    <t>Погрузочно-разгрузоч-ные работы, т</t>
  </si>
  <si>
    <t>Дополни- тельные услуги (экспеди- рование)</t>
  </si>
  <si>
    <t>С товаром переданы документы:</t>
  </si>
  <si>
    <t>x</t>
  </si>
  <si>
    <t>коп.</t>
  </si>
  <si>
    <t>Единица измерения</t>
  </si>
  <si>
    <t>Код экспе-дирования</t>
  </si>
  <si>
    <t>шт</t>
  </si>
  <si>
    <t>Количест-во</t>
  </si>
  <si>
    <t>Погрузоч-но-разгру-зочные работы, т</t>
  </si>
  <si>
    <t>Наименование грузополучателя</t>
  </si>
  <si>
    <t>Адрес грузополучателя</t>
  </si>
  <si>
    <t>Пункт разгрузки</t>
  </si>
  <si>
    <t>Основание отпуска</t>
  </si>
  <si>
    <t>ООО "Ренал-2004"</t>
  </si>
  <si>
    <t>г. Минск, ул. Долгобродская, д. 28, комн. 242</t>
  </si>
  <si>
    <t>г. Минск, ул. Советская, 5</t>
  </si>
  <si>
    <t>22.08.2012 № 184</t>
  </si>
  <si>
    <t>ОДО "ХЭППИ ДОМ"</t>
  </si>
  <si>
    <t>г. Минск, ул. Казинца, д. 64, комн.8</t>
  </si>
  <si>
    <t>г. Минск, ул. Уручская, 28</t>
  </si>
  <si>
    <t>15.06.2013 № 124/88</t>
  </si>
  <si>
    <t>№</t>
  </si>
  <si>
    <t>Тайота Камри 7788 АВ</t>
  </si>
  <si>
    <t>ООО "Заря", г. Минск, ул. Заславская, д. 36, ком. 102</t>
  </si>
  <si>
    <t>кг</t>
  </si>
  <si>
    <t>т</t>
  </si>
  <si>
    <t>см</t>
  </si>
  <si>
    <t>дм</t>
  </si>
  <si>
    <t>м</t>
  </si>
  <si>
    <t>кв.м</t>
  </si>
  <si>
    <t>мл</t>
  </si>
  <si>
    <t>л</t>
  </si>
  <si>
    <t>шт.</t>
  </si>
  <si>
    <t>пара</t>
  </si>
  <si>
    <t>компл</t>
  </si>
  <si>
    <t>Без НДС</t>
  </si>
  <si>
    <t>ноль для копеек</t>
  </si>
  <si>
    <t xml:space="preserve"> копейка</t>
  </si>
  <si>
    <t xml:space="preserve"> белорусский рубль </t>
  </si>
  <si>
    <t xml:space="preserve"> копейки</t>
  </si>
  <si>
    <t xml:space="preserve"> белорусских рубля </t>
  </si>
  <si>
    <t xml:space="preserve"> копеек</t>
  </si>
  <si>
    <t xml:space="preserve"> белорусских рублей </t>
  </si>
  <si>
    <t>BYR</t>
  </si>
  <si>
    <t>руб.</t>
  </si>
  <si>
    <t>RUB</t>
  </si>
  <si>
    <t>USD</t>
  </si>
  <si>
    <t>EUR</t>
  </si>
  <si>
    <t>1-й экз. – грузополучателю</t>
  </si>
  <si>
    <t>2-й экз. – грузоотправителю</t>
  </si>
  <si>
    <t xml:space="preserve">3-й и 4-й экз. – перевозчику </t>
  </si>
  <si>
    <t>Форма</t>
  </si>
  <si>
    <t xml:space="preserve">Приложение 1
к постановлению 
Министерства финансов 
Республики Беларусь 
30.06.2016 № 58 </t>
  </si>
  <si>
    <t xml:space="preserve">Водитель </t>
  </si>
  <si>
    <t>(фамилия и инициалы)</t>
  </si>
  <si>
    <t xml:space="preserve">Заказчик автомобильной перевозки (плательщик) </t>
  </si>
  <si>
    <t>(наименование, дата и номер документа)</t>
  </si>
  <si>
    <t>(наименование, адрес нового грузополучателя, новый пункт разгрузки, фамилия, инициалы, подпись лица, принявшего решение о переадресовке)</t>
  </si>
  <si>
    <t>Цена, руб. коп.</t>
  </si>
  <si>
    <t>Стоимость, руб. коп.</t>
  </si>
  <si>
    <t>Сумма НДС, руб. коп.</t>
  </si>
  <si>
    <t>Стоимость с НДС, руб. коп.</t>
  </si>
  <si>
    <t>х</t>
  </si>
  <si>
    <t xml:space="preserve">руб. </t>
  </si>
  <si>
    <t>(цифрами)</t>
  </si>
  <si>
    <t xml:space="preserve">Составленные акты (дата, номер) </t>
  </si>
  <si>
    <t>Дополнительные услуги (экспедирование)</t>
  </si>
  <si>
    <t>Приложение 1</t>
  </si>
  <si>
    <t>к постановлению</t>
  </si>
  <si>
    <t>Министерства финансов</t>
  </si>
  <si>
    <t>Республики Беларусь</t>
  </si>
  <si>
    <t>30.06.2016 № 58</t>
  </si>
  <si>
    <t>Составленные акты (дата, номер)</t>
  </si>
  <si>
    <t>Ноль</t>
  </si>
  <si>
    <t>с ндс</t>
  </si>
  <si>
    <t>без ндс</t>
  </si>
  <si>
    <t>Для справки - смотрите примечания к ячейкам E4 B8 B9 этого листа и H2 и C34 предыдущего.</t>
  </si>
  <si>
    <t xml:space="preserve"> (в т.ч. НДС - </t>
  </si>
  <si>
    <t>)</t>
  </si>
  <si>
    <t>Форма действует с 18.05.2018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</si>
</sst>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_-* #,##0.00[$р.-419]_-;\-* #,##0.00[$р.-419]_-;_-* &quot;-&quot;??[$р.-419]_-;_-@_-"/>
    <numFmt numFmtId="185" formatCode="_(* #,##0_);_(* \-#,##0_);_(* &quot;-&quot;_);_(@_)"/>
    <numFmt numFmtId="186" formatCode="_-* #,##0[$р.-419]_-;\-* #,##0[$р.-419]_-;_-* &quot;-&quot;??[$р.-419]_-;_-@_-"/>
  </numFmts>
  <fonts count="7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6.5"/>
      <name val="Tahoma"/>
      <family val="2"/>
    </font>
    <font>
      <sz val="6"/>
      <name val="Tahoma"/>
      <family val="2"/>
    </font>
    <font>
      <b/>
      <sz val="7"/>
      <name val="Tahoma"/>
      <family val="2"/>
    </font>
    <font>
      <sz val="7.5"/>
      <name val="Tahoma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sz val="8"/>
      <color indexed="26"/>
      <name val="Tahoma"/>
      <family val="2"/>
    </font>
    <font>
      <sz val="6"/>
      <name val="Arial Cyr"/>
      <family val="0"/>
    </font>
    <font>
      <b/>
      <sz val="6"/>
      <name val="Tahoma"/>
      <family val="2"/>
    </font>
    <font>
      <sz val="7"/>
      <color indexed="8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10"/>
      <name val="Helv"/>
      <family val="0"/>
    </font>
    <font>
      <sz val="8"/>
      <color indexed="43"/>
      <name val="Tahoma"/>
      <family val="2"/>
    </font>
    <font>
      <sz val="12"/>
      <color indexed="9"/>
      <name val="Arial Cyr"/>
      <family val="2"/>
    </font>
    <font>
      <sz val="8"/>
      <color indexed="9"/>
      <name val="Arial Cyr"/>
      <family val="2"/>
    </font>
    <font>
      <sz val="10"/>
      <color indexed="9"/>
      <name val="Times New Roman"/>
      <family val="1"/>
    </font>
    <font>
      <sz val="9"/>
      <color indexed="9"/>
      <name val="Arial Cyr"/>
      <family val="2"/>
    </font>
    <font>
      <sz val="9"/>
      <color indexed="43"/>
      <name val="Times New Roman"/>
      <family val="1"/>
    </font>
    <font>
      <sz val="6"/>
      <color indexed="43"/>
      <name val="Arial Cyr"/>
      <family val="0"/>
    </font>
    <font>
      <sz val="8"/>
      <color indexed="10"/>
      <name val="Tahoma"/>
      <family val="2"/>
    </font>
    <font>
      <b/>
      <sz val="8"/>
      <color indexed="43"/>
      <name val="Tahoma"/>
      <family val="2"/>
    </font>
    <font>
      <sz val="8"/>
      <color indexed="43"/>
      <name val="Arial Cyr"/>
      <family val="2"/>
    </font>
    <font>
      <b/>
      <sz val="8"/>
      <color indexed="43"/>
      <name val="Arial Cyr"/>
      <family val="2"/>
    </font>
    <font>
      <sz val="6"/>
      <color indexed="43"/>
      <name val="Tahoma"/>
      <family val="2"/>
    </font>
    <font>
      <b/>
      <sz val="6"/>
      <color indexed="43"/>
      <name val="Tahoma"/>
      <family val="2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/>
    </xf>
    <xf numFmtId="0" fontId="15" fillId="32" borderId="0" xfId="0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7" fillId="34" borderId="0" xfId="0" applyNumberFormat="1" applyFont="1" applyFill="1" applyAlignment="1" applyProtection="1">
      <alignment/>
      <protection/>
    </xf>
    <xf numFmtId="0" fontId="17" fillId="34" borderId="0" xfId="0" applyNumberFormat="1" applyFont="1" applyFill="1" applyAlignment="1" applyProtection="1">
      <alignment/>
      <protection/>
    </xf>
    <xf numFmtId="4" fontId="17" fillId="34" borderId="0" xfId="0" applyNumberFormat="1" applyFont="1" applyFill="1" applyAlignment="1" applyProtection="1">
      <alignment horizontal="right"/>
      <protection/>
    </xf>
    <xf numFmtId="0" fontId="16" fillId="34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/>
      <protection/>
    </xf>
    <xf numFmtId="172" fontId="13" fillId="33" borderId="15" xfId="0" applyNumberFormat="1" applyFont="1" applyFill="1" applyBorder="1" applyAlignment="1" applyProtection="1">
      <alignment horizontal="justify"/>
      <protection locked="0"/>
    </xf>
    <xf numFmtId="0" fontId="13" fillId="33" borderId="0" xfId="0" applyFont="1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16" xfId="0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17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5" fillId="33" borderId="18" xfId="0" applyNumberFormat="1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49" fontId="5" fillId="33" borderId="18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horizontal="right" vertical="center"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right" wrapText="1"/>
      <protection/>
    </xf>
    <xf numFmtId="0" fontId="19" fillId="33" borderId="0" xfId="0" applyFont="1" applyFill="1" applyAlignment="1" applyProtection="1">
      <alignment vertical="center" wrapText="1"/>
      <protection/>
    </xf>
    <xf numFmtId="0" fontId="19" fillId="35" borderId="0" xfId="0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horizontal="right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2" fontId="1" fillId="33" borderId="0" xfId="0" applyNumberFormat="1" applyFont="1" applyFill="1" applyBorder="1" applyAlignment="1" applyProtection="1">
      <alignment horizontal="left" indent="2"/>
      <protection hidden="1"/>
    </xf>
    <xf numFmtId="4" fontId="1" fillId="33" borderId="0" xfId="0" applyNumberFormat="1" applyFont="1" applyFill="1" applyBorder="1" applyAlignment="1" applyProtection="1">
      <alignment horizontal="left" vertical="center" indent="1"/>
      <protection hidden="1"/>
    </xf>
    <xf numFmtId="0" fontId="1" fillId="33" borderId="0" xfId="0" applyFont="1" applyFill="1" applyBorder="1" applyAlignment="1" applyProtection="1">
      <alignment horizontal="left" vertical="center" indent="2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right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172" fontId="13" fillId="33" borderId="0" xfId="0" applyNumberFormat="1" applyFont="1" applyFill="1" applyBorder="1" applyAlignment="1" applyProtection="1">
      <alignment/>
      <protection/>
    </xf>
    <xf numFmtId="172" fontId="13" fillId="33" borderId="0" xfId="0" applyNumberFormat="1" applyFont="1" applyFill="1" applyBorder="1" applyAlignment="1" applyProtection="1">
      <alignment horizontal="justify"/>
      <protection/>
    </xf>
    <xf numFmtId="0" fontId="5" fillId="33" borderId="0" xfId="0" applyFont="1" applyFill="1" applyBorder="1" applyAlignment="1" applyProtection="1">
      <alignment horizontal="left" vertical="center" indent="1"/>
      <protection/>
    </xf>
    <xf numFmtId="49" fontId="8" fillId="33" borderId="0" xfId="0" applyNumberFormat="1" applyFont="1" applyFill="1" applyBorder="1" applyAlignment="1" applyProtection="1">
      <alignment horizontal="left" vertical="center" indent="1"/>
      <protection/>
    </xf>
    <xf numFmtId="49" fontId="5" fillId="33" borderId="0" xfId="0" applyNumberFormat="1" applyFont="1" applyFill="1" applyBorder="1" applyAlignment="1" applyProtection="1">
      <alignment horizontal="left" vertical="center" indent="1"/>
      <protection/>
    </xf>
    <xf numFmtId="0" fontId="5" fillId="33" borderId="0" xfId="0" applyFont="1" applyFill="1" applyBorder="1" applyAlignment="1" applyProtection="1">
      <alignment horizontal="left" vertical="center" wrapText="1" indent="1"/>
      <protection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" fillId="36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2" fillId="32" borderId="0" xfId="0" applyFont="1" applyFill="1" applyAlignment="1" applyProtection="1">
      <alignment vertical="center"/>
      <protection hidden="1"/>
    </xf>
    <xf numFmtId="0" fontId="22" fillId="34" borderId="0" xfId="0" applyFont="1" applyFill="1" applyBorder="1" applyAlignment="1" applyProtection="1">
      <alignment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22" fillId="34" borderId="0" xfId="0" applyFont="1" applyFill="1" applyBorder="1" applyAlignment="1" applyProtection="1">
      <alignment vertical="top"/>
      <protection locked="0"/>
    </xf>
    <xf numFmtId="0" fontId="22" fillId="34" borderId="0" xfId="0" applyFont="1" applyFill="1" applyBorder="1" applyAlignment="1" applyProtection="1">
      <alignment vertical="top" wrapText="1"/>
      <protection locked="0"/>
    </xf>
    <xf numFmtId="0" fontId="22" fillId="32" borderId="0" xfId="0" applyFont="1" applyFill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center"/>
      <protection/>
    </xf>
    <xf numFmtId="4" fontId="1" fillId="33" borderId="0" xfId="0" applyNumberFormat="1" applyFont="1" applyFill="1" applyBorder="1" applyAlignment="1" applyProtection="1">
      <alignment vertical="center"/>
      <protection hidden="1"/>
    </xf>
    <xf numFmtId="0" fontId="19" fillId="33" borderId="0" xfId="0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53" applyNumberFormat="1" applyFont="1" applyFill="1" applyBorder="1" applyProtection="1">
      <alignment/>
      <protection hidden="1"/>
    </xf>
    <xf numFmtId="0" fontId="11" fillId="0" borderId="0" xfId="53" applyNumberFormat="1" applyFont="1" applyFill="1" applyBorder="1" applyProtection="1">
      <alignment/>
      <protection hidden="1"/>
    </xf>
    <xf numFmtId="4" fontId="23" fillId="0" borderId="0" xfId="53" applyNumberFormat="1" applyFont="1" applyFill="1" applyBorder="1" applyAlignment="1" applyProtection="1">
      <alignment horizontal="right"/>
      <protection hidden="1"/>
    </xf>
    <xf numFmtId="0" fontId="25" fillId="0" borderId="0" xfId="53" applyFont="1" applyFill="1" applyBorder="1" applyProtection="1">
      <alignment/>
      <protection hidden="1"/>
    </xf>
    <xf numFmtId="0" fontId="11" fillId="0" borderId="0" xfId="53" applyFont="1" applyFill="1" applyBorder="1" applyProtection="1">
      <alignment/>
      <protection hidden="1"/>
    </xf>
    <xf numFmtId="0" fontId="11" fillId="0" borderId="0" xfId="53" applyNumberFormat="1" applyFont="1" applyFill="1" applyBorder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right"/>
      <protection hidden="1"/>
    </xf>
    <xf numFmtId="0" fontId="11" fillId="0" borderId="0" xfId="53" applyNumberFormat="1" applyFont="1" applyFill="1" applyBorder="1" applyAlignment="1" applyProtection="1">
      <alignment horizontal="right"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186" fontId="11" fillId="0" borderId="0" xfId="53" applyNumberFormat="1" applyFont="1" applyFill="1" applyBorder="1" applyProtection="1">
      <alignment/>
      <protection hidden="1"/>
    </xf>
    <xf numFmtId="2" fontId="11" fillId="0" borderId="0" xfId="53" applyNumberFormat="1" applyFont="1" applyFill="1" applyBorder="1" applyAlignment="1" applyProtection="1">
      <alignment horizontal="right"/>
      <protection hidden="1"/>
    </xf>
    <xf numFmtId="0" fontId="24" fillId="0" borderId="0" xfId="53" applyNumberFormat="1" applyFont="1" applyFill="1" applyBorder="1" applyAlignment="1" applyProtection="1">
      <alignment shrinkToFit="1"/>
      <protection hidden="1"/>
    </xf>
    <xf numFmtId="4" fontId="11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53" applyNumberFormat="1" applyFont="1" applyFill="1" applyBorder="1" applyAlignment="1" applyProtection="1">
      <alignment shrinkToFit="1"/>
      <protection hidden="1"/>
    </xf>
    <xf numFmtId="14" fontId="11" fillId="0" borderId="0" xfId="53" applyNumberFormat="1" applyFont="1" applyFill="1" applyBorder="1" applyProtection="1">
      <alignment/>
      <protection hidden="1"/>
    </xf>
    <xf numFmtId="3" fontId="11" fillId="0" borderId="0" xfId="53" applyNumberFormat="1" applyFont="1" applyFill="1" applyBorder="1" applyProtection="1">
      <alignment/>
      <protection hidden="1"/>
    </xf>
    <xf numFmtId="1" fontId="11" fillId="0" borderId="0" xfId="53" applyNumberFormat="1" applyFont="1" applyFill="1" applyBorder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left"/>
      <protection hidden="1"/>
    </xf>
    <xf numFmtId="0" fontId="11" fillId="0" borderId="0" xfId="0" applyFont="1" applyBorder="1" applyAlignment="1">
      <alignment/>
    </xf>
    <xf numFmtId="0" fontId="24" fillId="0" borderId="0" xfId="53" applyNumberFormat="1" applyFont="1" applyFill="1" applyBorder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left"/>
      <protection hidden="1"/>
    </xf>
    <xf numFmtId="4" fontId="11" fillId="0" borderId="0" xfId="53" applyNumberFormat="1" applyFont="1" applyFill="1" applyBorder="1" applyAlignment="1" applyProtection="1">
      <alignment horizontal="left"/>
      <protection hidden="1"/>
    </xf>
    <xf numFmtId="0" fontId="26" fillId="0" borderId="0" xfId="53" applyNumberFormat="1" applyFont="1" applyFill="1" applyBorder="1" applyProtection="1">
      <alignment/>
      <protection hidden="1"/>
    </xf>
    <xf numFmtId="0" fontId="22" fillId="34" borderId="0" xfId="0" applyFont="1" applyFill="1" applyBorder="1" applyAlignment="1" applyProtection="1">
      <alignment/>
      <protection/>
    </xf>
    <xf numFmtId="0" fontId="22" fillId="32" borderId="0" xfId="0" applyFont="1" applyFill="1" applyAlignment="1" applyProtection="1">
      <alignment vertical="center"/>
      <protection hidden="1"/>
    </xf>
    <xf numFmtId="0" fontId="22" fillId="34" borderId="0" xfId="0" applyFont="1" applyFill="1" applyBorder="1" applyAlignment="1" applyProtection="1">
      <alignment horizontal="left"/>
      <protection/>
    </xf>
    <xf numFmtId="2" fontId="22" fillId="34" borderId="0" xfId="0" applyNumberFormat="1" applyFont="1" applyFill="1" applyBorder="1" applyAlignment="1" applyProtection="1">
      <alignment/>
      <protection/>
    </xf>
    <xf numFmtId="3" fontId="22" fillId="34" borderId="0" xfId="0" applyNumberFormat="1" applyFont="1" applyFill="1" applyBorder="1" applyAlignment="1" applyProtection="1">
      <alignment horizontal="right"/>
      <protection/>
    </xf>
    <xf numFmtId="4" fontId="22" fillId="34" borderId="0" xfId="0" applyNumberFormat="1" applyFont="1" applyFill="1" applyBorder="1" applyAlignment="1" applyProtection="1">
      <alignment/>
      <protection/>
    </xf>
    <xf numFmtId="3" fontId="22" fillId="34" borderId="0" xfId="0" applyNumberFormat="1" applyFont="1" applyFill="1" applyBorder="1" applyAlignment="1" applyProtection="1">
      <alignment/>
      <protection/>
    </xf>
    <xf numFmtId="1" fontId="22" fillId="34" borderId="0" xfId="0" applyNumberFormat="1" applyFont="1" applyFill="1" applyBorder="1" applyAlignment="1" applyProtection="1">
      <alignment horizontal="right"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22" fillId="34" borderId="0" xfId="54" applyFont="1" applyFill="1" applyBorder="1" applyAlignment="1" applyProtection="1">
      <alignment horizontal="right" vertical="top"/>
      <protection/>
    </xf>
    <xf numFmtId="0" fontId="22" fillId="34" borderId="0" xfId="54" applyFont="1" applyFill="1" applyBorder="1" applyAlignment="1" applyProtection="1">
      <alignment vertical="top"/>
      <protection/>
    </xf>
    <xf numFmtId="0" fontId="22" fillId="34" borderId="0" xfId="54" applyFont="1" applyFill="1" applyBorder="1" applyAlignment="1" applyProtection="1">
      <alignment horizontal="right" vertical="center"/>
      <protection/>
    </xf>
    <xf numFmtId="0" fontId="22" fillId="34" borderId="0" xfId="54" applyFont="1" applyFill="1" applyBorder="1" applyAlignment="1" applyProtection="1">
      <alignment vertical="center"/>
      <protection/>
    </xf>
    <xf numFmtId="0" fontId="27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/>
      <protection locked="0"/>
    </xf>
    <xf numFmtId="0" fontId="28" fillId="34" borderId="0" xfId="0" applyNumberFormat="1" applyFont="1" applyFill="1" applyAlignment="1" applyProtection="1">
      <alignment/>
      <protection/>
    </xf>
    <xf numFmtId="9" fontId="22" fillId="32" borderId="0" xfId="0" applyNumberFormat="1" applyFont="1" applyFill="1" applyAlignment="1" applyProtection="1">
      <alignment vertical="center"/>
      <protection/>
    </xf>
    <xf numFmtId="0" fontId="29" fillId="3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horizontal="left" vertical="center"/>
      <protection/>
    </xf>
    <xf numFmtId="0" fontId="30" fillId="32" borderId="0" xfId="0" applyFont="1" applyFill="1" applyAlignment="1" applyProtection="1">
      <alignment vertical="center"/>
      <protection/>
    </xf>
    <xf numFmtId="4" fontId="31" fillId="34" borderId="0" xfId="0" applyNumberFormat="1" applyFont="1" applyFill="1" applyAlignment="1" applyProtection="1">
      <alignment horizontal="left"/>
      <protection/>
    </xf>
    <xf numFmtId="0" fontId="31" fillId="34" borderId="0" xfId="0" applyNumberFormat="1" applyFont="1" applyFill="1" applyAlignment="1" applyProtection="1">
      <alignment horizontal="right"/>
      <protection/>
    </xf>
    <xf numFmtId="0" fontId="31" fillId="34" borderId="0" xfId="0" applyNumberFormat="1" applyFont="1" applyFill="1" applyAlignment="1" applyProtection="1">
      <alignment/>
      <protection/>
    </xf>
    <xf numFmtId="0" fontId="31" fillId="34" borderId="0" xfId="0" applyNumberFormat="1" applyFont="1" applyFill="1" applyAlignment="1" applyProtection="1">
      <alignment shrinkToFit="1"/>
      <protection/>
    </xf>
    <xf numFmtId="0" fontId="31" fillId="34" borderId="0" xfId="0" applyNumberFormat="1" applyFont="1" applyFill="1" applyAlignment="1" applyProtection="1">
      <alignment/>
      <protection/>
    </xf>
    <xf numFmtId="0" fontId="31" fillId="34" borderId="0" xfId="0" applyNumberFormat="1" applyFont="1" applyFill="1" applyBorder="1" applyAlignment="1" applyProtection="1">
      <alignment/>
      <protection/>
    </xf>
    <xf numFmtId="4" fontId="32" fillId="34" borderId="0" xfId="0" applyNumberFormat="1" applyFont="1" applyFill="1" applyBorder="1" applyAlignment="1" applyProtection="1">
      <alignment horizontal="right"/>
      <protection/>
    </xf>
    <xf numFmtId="2" fontId="32" fillId="34" borderId="0" xfId="0" applyNumberFormat="1" applyFont="1" applyFill="1" applyAlignment="1" applyProtection="1">
      <alignment/>
      <protection/>
    </xf>
    <xf numFmtId="0" fontId="22" fillId="34" borderId="0" xfId="0" applyNumberFormat="1" applyFont="1" applyFill="1" applyAlignment="1" applyProtection="1">
      <alignment/>
      <protection/>
    </xf>
    <xf numFmtId="0" fontId="30" fillId="34" borderId="0" xfId="0" applyNumberFormat="1" applyFont="1" applyFill="1" applyAlignment="1" applyProtection="1">
      <alignment/>
      <protection/>
    </xf>
    <xf numFmtId="4" fontId="30" fillId="34" borderId="0" xfId="0" applyNumberFormat="1" applyFont="1" applyFill="1" applyAlignment="1" applyProtection="1">
      <alignment horizontal="right"/>
      <protection/>
    </xf>
    <xf numFmtId="0" fontId="31" fillId="34" borderId="0" xfId="0" applyNumberFormat="1" applyFont="1" applyFill="1" applyAlignment="1" applyProtection="1">
      <alignment horizontal="right"/>
      <protection/>
    </xf>
    <xf numFmtId="0" fontId="31" fillId="34" borderId="0" xfId="0" applyNumberFormat="1" applyFont="1" applyFill="1" applyAlignment="1" applyProtection="1">
      <alignment/>
      <protection/>
    </xf>
    <xf numFmtId="0" fontId="32" fillId="34" borderId="0" xfId="0" applyNumberFormat="1" applyFont="1" applyFill="1" applyAlignment="1" applyProtection="1">
      <alignment horizontal="center"/>
      <protection/>
    </xf>
    <xf numFmtId="184" fontId="31" fillId="34" borderId="0" xfId="0" applyNumberFormat="1" applyFont="1" applyFill="1" applyAlignment="1" applyProtection="1">
      <alignment/>
      <protection/>
    </xf>
    <xf numFmtId="2" fontId="31" fillId="34" borderId="0" xfId="0" applyNumberFormat="1" applyFont="1" applyFill="1" applyAlignment="1" applyProtection="1">
      <alignment horizontal="right"/>
      <protection/>
    </xf>
    <xf numFmtId="0" fontId="31" fillId="34" borderId="0" xfId="0" applyNumberFormat="1" applyFont="1" applyFill="1" applyAlignment="1" applyProtection="1">
      <alignment horizontal="right"/>
      <protection/>
    </xf>
    <xf numFmtId="0" fontId="31" fillId="34" borderId="0" xfId="0" applyNumberFormat="1" applyFont="1" applyFill="1" applyAlignment="1" applyProtection="1">
      <alignment shrinkToFit="1"/>
      <protection/>
    </xf>
    <xf numFmtId="0" fontId="31" fillId="34" borderId="0" xfId="0" applyNumberFormat="1" applyFont="1" applyFill="1" applyAlignment="1" applyProtection="1">
      <alignment horizontal="left"/>
      <protection/>
    </xf>
    <xf numFmtId="4" fontId="31" fillId="34" borderId="0" xfId="0" applyNumberFormat="1" applyFont="1" applyFill="1" applyAlignment="1" applyProtection="1">
      <alignment horizontal="right"/>
      <protection/>
    </xf>
    <xf numFmtId="4" fontId="31" fillId="34" borderId="0" xfId="0" applyNumberFormat="1" applyFont="1" applyFill="1" applyAlignment="1" applyProtection="1">
      <alignment horizontal="left"/>
      <protection/>
    </xf>
    <xf numFmtId="3" fontId="31" fillId="34" borderId="0" xfId="0" applyNumberFormat="1" applyFont="1" applyFill="1" applyAlignment="1" applyProtection="1">
      <alignment/>
      <protection/>
    </xf>
    <xf numFmtId="1" fontId="31" fillId="34" borderId="0" xfId="0" applyNumberFormat="1" applyFont="1" applyFill="1" applyAlignment="1" applyProtection="1">
      <alignment horizontal="right"/>
      <protection/>
    </xf>
    <xf numFmtId="0" fontId="31" fillId="34" borderId="0" xfId="0" applyNumberFormat="1" applyFont="1" applyFill="1" applyBorder="1" applyAlignment="1" applyProtection="1">
      <alignment/>
      <protection/>
    </xf>
    <xf numFmtId="0" fontId="33" fillId="34" borderId="0" xfId="0" applyNumberFormat="1" applyFont="1" applyFill="1" applyAlignment="1" applyProtection="1">
      <alignment/>
      <protection/>
    </xf>
    <xf numFmtId="0" fontId="22" fillId="32" borderId="0" xfId="0" applyFont="1" applyFill="1" applyAlignment="1" applyProtection="1">
      <alignment vertical="center"/>
      <protection/>
    </xf>
    <xf numFmtId="4" fontId="34" fillId="34" borderId="0" xfId="0" applyNumberFormat="1" applyFont="1" applyFill="1" applyAlignment="1" applyProtection="1">
      <alignment horizontal="right"/>
      <protection/>
    </xf>
    <xf numFmtId="0" fontId="34" fillId="34" borderId="0" xfId="0" applyNumberFormat="1" applyFont="1" applyFill="1" applyAlignment="1" applyProtection="1">
      <alignment/>
      <protection/>
    </xf>
    <xf numFmtId="0" fontId="28" fillId="34" borderId="0" xfId="0" applyNumberFormat="1" applyFont="1" applyFill="1" applyAlignment="1" applyProtection="1">
      <alignment horizontal="right"/>
      <protection/>
    </xf>
    <xf numFmtId="0" fontId="29" fillId="32" borderId="0" xfId="0" applyFont="1" applyFill="1" applyAlignment="1" applyProtection="1">
      <alignment vertical="center"/>
      <protection/>
    </xf>
    <xf numFmtId="0" fontId="29" fillId="32" borderId="0" xfId="0" applyFont="1" applyFill="1" applyAlignment="1" applyProtection="1">
      <alignment vertical="center"/>
      <protection hidden="1"/>
    </xf>
    <xf numFmtId="4" fontId="35" fillId="34" borderId="0" xfId="0" applyNumberFormat="1" applyFont="1" applyFill="1" applyAlignment="1" applyProtection="1">
      <alignment horizontal="left"/>
      <protection/>
    </xf>
    <xf numFmtId="0" fontId="35" fillId="34" borderId="0" xfId="0" applyNumberFormat="1" applyFont="1" applyFill="1" applyAlignment="1" applyProtection="1">
      <alignment horizontal="right"/>
      <protection/>
    </xf>
    <xf numFmtId="0" fontId="35" fillId="34" borderId="0" xfId="0" applyNumberFormat="1" applyFont="1" applyFill="1" applyAlignment="1" applyProtection="1">
      <alignment/>
      <protection/>
    </xf>
    <xf numFmtId="0" fontId="12" fillId="33" borderId="27" xfId="0" applyFont="1" applyFill="1" applyBorder="1" applyAlignment="1" applyProtection="1">
      <alignment/>
      <protection/>
    </xf>
    <xf numFmtId="0" fontId="12" fillId="33" borderId="18" xfId="0" applyFont="1" applyFill="1" applyBorder="1" applyAlignment="1" applyProtection="1">
      <alignment/>
      <protection/>
    </xf>
    <xf numFmtId="0" fontId="5" fillId="33" borderId="28" xfId="0" applyNumberFormat="1" applyFont="1" applyFill="1" applyBorder="1" applyAlignment="1" applyProtection="1">
      <alignment horizontal="center" vertical="center"/>
      <protection locked="0"/>
    </xf>
    <xf numFmtId="0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5" fillId="33" borderId="30" xfId="0" applyNumberFormat="1" applyFont="1" applyFill="1" applyBorder="1" applyAlignment="1" applyProtection="1">
      <alignment horizontal="center" vertical="center"/>
      <protection locked="0"/>
    </xf>
    <xf numFmtId="0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5" fillId="33" borderId="3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36" xfId="0" applyNumberFormat="1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 applyProtection="1">
      <alignment horizontal="center" vertical="center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0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5" fillId="36" borderId="40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41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5" fillId="36" borderId="40" xfId="0" applyFont="1" applyFill="1" applyBorder="1" applyAlignment="1" applyProtection="1">
      <alignment horizontal="center" vertical="center"/>
      <protection/>
    </xf>
    <xf numFmtId="0" fontId="5" fillId="36" borderId="17" xfId="0" applyFont="1" applyFill="1" applyBorder="1" applyAlignment="1" applyProtection="1">
      <alignment horizontal="center" vertical="center"/>
      <protection/>
    </xf>
    <xf numFmtId="0" fontId="5" fillId="36" borderId="41" xfId="0" applyFont="1" applyFill="1" applyBorder="1" applyAlignment="1" applyProtection="1">
      <alignment horizontal="center" vertical="center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5" fillId="36" borderId="43" xfId="0" applyFont="1" applyFill="1" applyBorder="1" applyAlignment="1" applyProtection="1">
      <alignment horizontal="center" vertical="center"/>
      <protection/>
    </xf>
    <xf numFmtId="0" fontId="5" fillId="36" borderId="44" xfId="0" applyFont="1" applyFill="1" applyBorder="1" applyAlignment="1" applyProtection="1">
      <alignment horizontal="center" vertical="center"/>
      <protection/>
    </xf>
    <xf numFmtId="0" fontId="5" fillId="36" borderId="15" xfId="0" applyFont="1" applyFill="1" applyBorder="1" applyAlignment="1" applyProtection="1">
      <alignment horizontal="center" vertical="center"/>
      <protection/>
    </xf>
    <xf numFmtId="0" fontId="5" fillId="36" borderId="45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4" fontId="1" fillId="33" borderId="15" xfId="0" applyNumberFormat="1" applyFont="1" applyFill="1" applyBorder="1" applyAlignment="1" applyProtection="1">
      <alignment horizontal="center" vertical="center"/>
      <protection hidden="1"/>
    </xf>
    <xf numFmtId="1" fontId="1" fillId="33" borderId="15" xfId="0" applyNumberFormat="1" applyFont="1" applyFill="1" applyBorder="1" applyAlignment="1" applyProtection="1">
      <alignment horizontal="center" vertical="center"/>
      <protection hidden="1"/>
    </xf>
    <xf numFmtId="2" fontId="1" fillId="33" borderId="15" xfId="0" applyNumberFormat="1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center" vertical="top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33" borderId="4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49" fontId="1" fillId="33" borderId="15" xfId="0" applyNumberFormat="1" applyFont="1" applyFill="1" applyBorder="1" applyAlignment="1" applyProtection="1">
      <alignment horizontal="left" vertical="center" indent="1"/>
      <protection locked="0"/>
    </xf>
    <xf numFmtId="0" fontId="1" fillId="33" borderId="42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46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28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6" borderId="4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45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left" vertical="center" indent="1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left" vertical="center" indent="1"/>
      <protection locked="0"/>
    </xf>
    <xf numFmtId="0" fontId="1" fillId="33" borderId="47" xfId="0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2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4" fontId="5" fillId="36" borderId="48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0" fontId="5" fillId="33" borderId="15" xfId="0" applyNumberFormat="1" applyFont="1" applyFill="1" applyBorder="1" applyAlignment="1" applyProtection="1">
      <alignment horizontal="left" vertical="center" indent="1"/>
      <protection locked="0"/>
    </xf>
    <xf numFmtId="0" fontId="18" fillId="33" borderId="0" xfId="0" applyFont="1" applyFill="1" applyBorder="1" applyAlignment="1" applyProtection="1">
      <alignment horizontal="center" vertical="top"/>
      <protection/>
    </xf>
    <xf numFmtId="0" fontId="5" fillId="36" borderId="48" xfId="0" applyFont="1" applyFill="1" applyBorder="1" applyAlignment="1" applyProtection="1">
      <alignment horizontal="center" vertical="center"/>
      <protection/>
    </xf>
    <xf numFmtId="0" fontId="5" fillId="36" borderId="49" xfId="0" applyFont="1" applyFill="1" applyBorder="1" applyAlignment="1" applyProtection="1">
      <alignment horizontal="center" vertical="center"/>
      <protection/>
    </xf>
    <xf numFmtId="0" fontId="5" fillId="36" borderId="50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5" fillId="36" borderId="48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5" fillId="36" borderId="50" xfId="0" applyFont="1" applyFill="1" applyBorder="1" applyAlignment="1" applyProtection="1">
      <alignment horizontal="center" vertical="center" wrapText="1"/>
      <protection/>
    </xf>
    <xf numFmtId="49" fontId="5" fillId="33" borderId="26" xfId="0" applyNumberFormat="1" applyFont="1" applyFill="1" applyBorder="1" applyAlignment="1" applyProtection="1">
      <alignment vertical="center" wrapText="1"/>
      <protection locked="0"/>
    </xf>
    <xf numFmtId="49" fontId="5" fillId="33" borderId="24" xfId="0" applyNumberFormat="1" applyFont="1" applyFill="1" applyBorder="1" applyAlignment="1" applyProtection="1">
      <alignment vertical="center" wrapText="1"/>
      <protection locked="0"/>
    </xf>
    <xf numFmtId="0" fontId="12" fillId="33" borderId="0" xfId="0" applyFont="1" applyFill="1" applyAlignment="1" applyProtection="1">
      <alignment horizontal="left"/>
      <protection/>
    </xf>
    <xf numFmtId="0" fontId="5" fillId="33" borderId="24" xfId="0" applyFont="1" applyFill="1" applyBorder="1" applyAlignment="1" applyProtection="1">
      <alignment horizontal="left" vertical="center"/>
      <protection/>
    </xf>
    <xf numFmtId="0" fontId="18" fillId="33" borderId="17" xfId="0" applyFont="1" applyFill="1" applyBorder="1" applyAlignment="1" applyProtection="1">
      <alignment horizontal="center" vertical="top"/>
      <protection/>
    </xf>
    <xf numFmtId="0" fontId="5" fillId="33" borderId="15" xfId="0" applyFont="1" applyFill="1" applyBorder="1" applyAlignment="1" applyProtection="1">
      <alignment horizontal="left" vertical="center" wrapText="1" indent="1"/>
      <protection locked="0"/>
    </xf>
    <xf numFmtId="0" fontId="12" fillId="33" borderId="0" xfId="0" applyFont="1" applyFill="1" applyBorder="1" applyAlignment="1" applyProtection="1">
      <alignment horizontal="center"/>
      <protection/>
    </xf>
    <xf numFmtId="0" fontId="5" fillId="33" borderId="15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6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left" vertical="center" inden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2" fontId="13" fillId="33" borderId="15" xfId="0" applyNumberFormat="1" applyFont="1" applyFill="1" applyBorder="1" applyAlignment="1" applyProtection="1">
      <alignment horizontal="center"/>
      <protection locked="0"/>
    </xf>
    <xf numFmtId="0" fontId="13" fillId="33" borderId="15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4" fontId="5" fillId="36" borderId="25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left" vertical="center" wrapText="1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6" borderId="23" xfId="0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center" wrapText="1"/>
      <protection/>
    </xf>
    <xf numFmtId="4" fontId="5" fillId="36" borderId="26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51" xfId="0" applyFont="1" applyFill="1" applyBorder="1" applyAlignment="1" applyProtection="1">
      <alignment horizontal="left" vertical="center" wrapText="1"/>
      <protection locked="0"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indent="2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left"/>
      <protection/>
    </xf>
    <xf numFmtId="4" fontId="5" fillId="33" borderId="4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51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23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Alignment="1" applyProtection="1">
      <alignment horizontal="center" vertical="top"/>
      <protection/>
    </xf>
    <xf numFmtId="0" fontId="12" fillId="33" borderId="0" xfId="0" applyFont="1" applyFill="1" applyAlignment="1" applyProtection="1">
      <alignment/>
      <protection/>
    </xf>
    <xf numFmtId="2" fontId="5" fillId="33" borderId="47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51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23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top"/>
      <protection/>
    </xf>
    <xf numFmtId="0" fontId="8" fillId="33" borderId="37" xfId="0" applyFont="1" applyFill="1" applyBorder="1" applyAlignment="1" applyProtection="1">
      <alignment horizontal="left" vertical="center" wrapText="1"/>
      <protection/>
    </xf>
    <xf numFmtId="0" fontId="8" fillId="33" borderId="38" xfId="0" applyFont="1" applyFill="1" applyBorder="1" applyAlignment="1" applyProtection="1">
      <alignment horizontal="left" vertical="center" wrapText="1"/>
      <protection/>
    </xf>
    <xf numFmtId="0" fontId="8" fillId="33" borderId="39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42" xfId="0" applyFont="1" applyFill="1" applyBorder="1" applyAlignment="1" applyProtection="1">
      <alignment horizontal="left" vertical="center"/>
      <protection/>
    </xf>
    <xf numFmtId="0" fontId="5" fillId="33" borderId="46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6" xfId="0" applyFont="1" applyFill="1" applyBorder="1" applyAlignment="1" applyProtection="1">
      <alignment horizontal="left" vertical="center"/>
      <protection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/>
    </xf>
    <xf numFmtId="49" fontId="4" fillId="33" borderId="15" xfId="0" applyNumberFormat="1" applyFont="1" applyFill="1" applyBorder="1" applyAlignment="1" applyProtection="1">
      <alignment horizontal="left" vertical="center" indent="1"/>
      <protection locked="0"/>
    </xf>
    <xf numFmtId="49" fontId="8" fillId="33" borderId="15" xfId="0" applyNumberFormat="1" applyFont="1" applyFill="1" applyBorder="1" applyAlignment="1" applyProtection="1">
      <alignment horizontal="left" vertical="center" indent="1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5" fillId="33" borderId="47" xfId="0" applyFont="1" applyFill="1" applyBorder="1" applyAlignment="1" applyProtection="1">
      <alignment horizontal="left" vertic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0" fontId="5" fillId="36" borderId="42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5" fillId="36" borderId="43" xfId="0" applyFont="1" applyFill="1" applyBorder="1" applyAlignment="1" applyProtection="1">
      <alignment horizontal="center" vertical="center"/>
      <protection locked="0"/>
    </xf>
    <xf numFmtId="0" fontId="5" fillId="36" borderId="44" xfId="0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 applyProtection="1">
      <alignment horizontal="center" vertical="center"/>
      <protection locked="0"/>
    </xf>
    <xf numFmtId="0" fontId="5" fillId="36" borderId="45" xfId="0" applyFont="1" applyFill="1" applyBorder="1" applyAlignment="1" applyProtection="1">
      <alignment horizontal="center" vertical="center"/>
      <protection locked="0"/>
    </xf>
    <xf numFmtId="0" fontId="5" fillId="33" borderId="52" xfId="0" applyNumberFormat="1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vertical="center"/>
      <protection locked="0"/>
    </xf>
    <xf numFmtId="1" fontId="1" fillId="33" borderId="15" xfId="0" applyNumberFormat="1" applyFont="1" applyFill="1" applyBorder="1" applyAlignment="1" applyProtection="1">
      <alignment horizontal="center"/>
      <protection hidden="1"/>
    </xf>
    <xf numFmtId="4" fontId="1" fillId="33" borderId="15" xfId="0" applyNumberFormat="1" applyFont="1" applyFill="1" applyBorder="1" applyAlignment="1" applyProtection="1">
      <alignment horizontal="right" vertical="center"/>
      <protection hidden="1"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indent="1"/>
      <protection locked="0"/>
    </xf>
    <xf numFmtId="0" fontId="1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172" fontId="13" fillId="33" borderId="0" xfId="0" applyNumberFormat="1" applyFont="1" applyFill="1" applyBorder="1" applyAlignment="1" applyProtection="1">
      <alignment horizontal="center"/>
      <protection locked="0"/>
    </xf>
    <xf numFmtId="49" fontId="5" fillId="33" borderId="15" xfId="0" applyNumberFormat="1" applyFont="1" applyFill="1" applyBorder="1" applyAlignment="1" applyProtection="1">
      <alignment horizontal="left" vertical="center" indent="1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48" xfId="0" applyNumberFormat="1" applyFont="1" applyFill="1" applyBorder="1" applyAlignment="1" applyProtection="1">
      <alignment horizontal="center" vertical="center" wrapText="1"/>
      <protection/>
    </xf>
    <xf numFmtId="4" fontId="5" fillId="36" borderId="25" xfId="0" applyNumberFormat="1" applyFont="1" applyFill="1" applyBorder="1" applyAlignment="1" applyProtection="1">
      <alignment horizontal="center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/>
    </xf>
    <xf numFmtId="3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26" xfId="0" applyNumberFormat="1" applyFont="1" applyFill="1" applyBorder="1" applyAlignment="1" applyProtection="1">
      <alignment horizontal="center" vertical="center" wrapText="1"/>
      <protection/>
    </xf>
    <xf numFmtId="3" fontId="5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51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32" xfId="0" applyNumberFormat="1" applyFont="1" applyFill="1" applyBorder="1" applyAlignment="1" applyProtection="1">
      <alignment horizontal="center" vertical="center" wrapText="1"/>
      <protection locked="0"/>
    </xf>
    <xf numFmtId="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indent="1"/>
      <protection/>
    </xf>
    <xf numFmtId="0" fontId="18" fillId="33" borderId="53" xfId="0" applyFont="1" applyFill="1" applyBorder="1" applyAlignment="1" applyProtection="1">
      <alignment horizontal="center" vertical="top"/>
      <protection/>
    </xf>
    <xf numFmtId="0" fontId="1" fillId="33" borderId="15" xfId="0" applyFont="1" applyFill="1" applyBorder="1" applyAlignment="1" applyProtection="1">
      <alignment horizontal="left" vertical="center" indent="1"/>
      <protection/>
    </xf>
    <xf numFmtId="0" fontId="5" fillId="33" borderId="42" xfId="0" applyFont="1" applyFill="1" applyBorder="1" applyAlignment="1" applyProtection="1">
      <alignment horizontal="left" vertical="center"/>
      <protection/>
    </xf>
    <xf numFmtId="49" fontId="5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2" xfId="0" applyFont="1" applyFill="1" applyBorder="1" applyAlignment="1" applyProtection="1">
      <alignment vertical="center"/>
      <protection/>
    </xf>
    <xf numFmtId="0" fontId="5" fillId="34" borderId="40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/>
      <protection/>
    </xf>
    <xf numFmtId="2" fontId="1" fillId="33" borderId="15" xfId="0" applyNumberFormat="1" applyFont="1" applyFill="1" applyBorder="1" applyAlignment="1" applyProtection="1">
      <alignment horizontal="right"/>
      <protection hidden="1"/>
    </xf>
    <xf numFmtId="49" fontId="1" fillId="33" borderId="15" xfId="0" applyNumberFormat="1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right"/>
      <protection/>
    </xf>
    <xf numFmtId="0" fontId="5" fillId="33" borderId="15" xfId="0" applyFont="1" applyFill="1" applyBorder="1" applyAlignment="1" applyProtection="1">
      <alignment vertical="center" wrapText="1"/>
      <protection locked="0"/>
    </xf>
    <xf numFmtId="0" fontId="5" fillId="33" borderId="17" xfId="0" applyFont="1" applyFill="1" applyBorder="1" applyAlignment="1" applyProtection="1">
      <alignment vertical="top" wrapText="1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 2" xfId="53"/>
    <cellStyle name="Обычный_Бланк платежного поручения (сокращенного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3"/>
  </sheetPr>
  <dimension ref="B2:I1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2.75390625" style="103" customWidth="1"/>
    <col min="3" max="3" width="4.75390625" style="103" customWidth="1"/>
    <col min="4" max="4" width="32.625" style="103" customWidth="1"/>
    <col min="5" max="5" width="12.00390625" style="103" customWidth="1"/>
    <col min="6" max="6" width="36.125" style="103" customWidth="1"/>
    <col min="7" max="7" width="30.75390625" style="103" customWidth="1"/>
    <col min="8" max="8" width="17.875" style="103" customWidth="1"/>
    <col min="9" max="121" width="2.75390625" style="103" customWidth="1"/>
    <col min="122" max="16384" width="9.125" style="103" customWidth="1"/>
  </cols>
  <sheetData>
    <row r="1" ht="13.5" thickBot="1"/>
    <row r="2" spans="2:9" ht="12.75">
      <c r="B2" s="104"/>
      <c r="C2" s="105"/>
      <c r="D2" s="105"/>
      <c r="E2" s="105"/>
      <c r="F2" s="105"/>
      <c r="G2" s="105"/>
      <c r="H2" s="105"/>
      <c r="I2" s="106"/>
    </row>
    <row r="3" spans="2:9" ht="30" customHeight="1">
      <c r="B3" s="107"/>
      <c r="C3" s="112">
        <v>1</v>
      </c>
      <c r="D3" s="112" t="s">
        <v>137</v>
      </c>
      <c r="E3" s="112" t="s">
        <v>88</v>
      </c>
      <c r="F3" s="112" t="s">
        <v>138</v>
      </c>
      <c r="G3" s="112" t="s">
        <v>139</v>
      </c>
      <c r="H3" s="112" t="s">
        <v>140</v>
      </c>
      <c r="I3" s="108"/>
    </row>
    <row r="4" spans="2:9" ht="12.75">
      <c r="B4" s="107"/>
      <c r="C4" s="114">
        <v>1</v>
      </c>
      <c r="D4" s="117" t="s">
        <v>141</v>
      </c>
      <c r="E4" s="114">
        <v>190658987</v>
      </c>
      <c r="F4" s="117" t="s">
        <v>142</v>
      </c>
      <c r="G4" s="117" t="s">
        <v>143</v>
      </c>
      <c r="H4" s="117" t="s">
        <v>144</v>
      </c>
      <c r="I4" s="108"/>
    </row>
    <row r="5" spans="2:9" ht="12.75">
      <c r="B5" s="107"/>
      <c r="C5" s="115">
        <v>2</v>
      </c>
      <c r="D5" s="118" t="s">
        <v>145</v>
      </c>
      <c r="E5" s="115">
        <v>190354698</v>
      </c>
      <c r="F5" s="118" t="s">
        <v>146</v>
      </c>
      <c r="G5" s="118" t="s">
        <v>147</v>
      </c>
      <c r="H5" s="118" t="s">
        <v>148</v>
      </c>
      <c r="I5" s="108"/>
    </row>
    <row r="6" spans="2:9" ht="12.75">
      <c r="B6" s="107"/>
      <c r="C6" s="115">
        <v>3</v>
      </c>
      <c r="D6" s="118"/>
      <c r="E6" s="115"/>
      <c r="F6" s="118"/>
      <c r="G6" s="118"/>
      <c r="H6" s="118"/>
      <c r="I6" s="108"/>
    </row>
    <row r="7" spans="2:9" ht="12.75">
      <c r="B7" s="107"/>
      <c r="C7" s="115">
        <v>4</v>
      </c>
      <c r="D7" s="118"/>
      <c r="E7" s="115"/>
      <c r="F7" s="118"/>
      <c r="G7" s="118"/>
      <c r="H7" s="118"/>
      <c r="I7" s="108"/>
    </row>
    <row r="8" spans="2:9" ht="12.75">
      <c r="B8" s="107"/>
      <c r="C8" s="115">
        <v>5</v>
      </c>
      <c r="D8" s="118"/>
      <c r="E8" s="115"/>
      <c r="F8" s="118"/>
      <c r="G8" s="118"/>
      <c r="H8" s="118"/>
      <c r="I8" s="108"/>
    </row>
    <row r="9" spans="2:9" ht="12.75">
      <c r="B9" s="107"/>
      <c r="C9" s="115">
        <v>6</v>
      </c>
      <c r="D9" s="118"/>
      <c r="E9" s="115"/>
      <c r="F9" s="118"/>
      <c r="G9" s="118"/>
      <c r="H9" s="118"/>
      <c r="I9" s="108"/>
    </row>
    <row r="10" spans="2:9" ht="12.75">
      <c r="B10" s="107"/>
      <c r="C10" s="115">
        <v>7</v>
      </c>
      <c r="D10" s="118"/>
      <c r="E10" s="115"/>
      <c r="F10" s="118"/>
      <c r="G10" s="118"/>
      <c r="H10" s="118"/>
      <c r="I10" s="108"/>
    </row>
    <row r="11" spans="2:9" ht="12.75">
      <c r="B11" s="107"/>
      <c r="C11" s="115">
        <v>8</v>
      </c>
      <c r="D11" s="118"/>
      <c r="E11" s="115"/>
      <c r="F11" s="118"/>
      <c r="G11" s="118"/>
      <c r="H11" s="118"/>
      <c r="I11" s="108"/>
    </row>
    <row r="12" spans="2:9" ht="12.75">
      <c r="B12" s="107"/>
      <c r="C12" s="115">
        <v>9</v>
      </c>
      <c r="D12" s="118"/>
      <c r="E12" s="115"/>
      <c r="F12" s="118"/>
      <c r="G12" s="118"/>
      <c r="H12" s="118"/>
      <c r="I12" s="108"/>
    </row>
    <row r="13" spans="2:9" ht="12.75">
      <c r="B13" s="107"/>
      <c r="C13" s="115">
        <v>10</v>
      </c>
      <c r="D13" s="118"/>
      <c r="E13" s="115"/>
      <c r="F13" s="118"/>
      <c r="G13" s="118"/>
      <c r="H13" s="118"/>
      <c r="I13" s="108"/>
    </row>
    <row r="14" spans="2:9" ht="12.75">
      <c r="B14" s="107"/>
      <c r="C14" s="115">
        <v>11</v>
      </c>
      <c r="D14" s="118"/>
      <c r="E14" s="115"/>
      <c r="F14" s="118"/>
      <c r="G14" s="118"/>
      <c r="H14" s="118"/>
      <c r="I14" s="108"/>
    </row>
    <row r="15" spans="2:9" ht="12.75">
      <c r="B15" s="107"/>
      <c r="C15" s="115">
        <v>12</v>
      </c>
      <c r="D15" s="118"/>
      <c r="E15" s="115"/>
      <c r="F15" s="118"/>
      <c r="G15" s="118"/>
      <c r="H15" s="118"/>
      <c r="I15" s="108"/>
    </row>
    <row r="16" spans="2:9" ht="12.75">
      <c r="B16" s="107"/>
      <c r="C16" s="115">
        <v>13</v>
      </c>
      <c r="D16" s="118"/>
      <c r="E16" s="115"/>
      <c r="F16" s="118"/>
      <c r="G16" s="118"/>
      <c r="H16" s="118"/>
      <c r="I16" s="108"/>
    </row>
    <row r="17" spans="2:9" ht="12.75">
      <c r="B17" s="107"/>
      <c r="C17" s="115">
        <v>14</v>
      </c>
      <c r="D17" s="118"/>
      <c r="E17" s="115"/>
      <c r="F17" s="118"/>
      <c r="G17" s="118"/>
      <c r="H17" s="118"/>
      <c r="I17" s="108"/>
    </row>
    <row r="18" spans="2:9" ht="12.75">
      <c r="B18" s="107"/>
      <c r="C18" s="115">
        <v>15</v>
      </c>
      <c r="D18" s="118"/>
      <c r="E18" s="115"/>
      <c r="F18" s="118"/>
      <c r="G18" s="118"/>
      <c r="H18" s="118"/>
      <c r="I18" s="108"/>
    </row>
    <row r="19" spans="2:9" ht="12.75">
      <c r="B19" s="107"/>
      <c r="C19" s="115">
        <v>16</v>
      </c>
      <c r="D19" s="118"/>
      <c r="E19" s="115"/>
      <c r="F19" s="118"/>
      <c r="G19" s="118"/>
      <c r="H19" s="118"/>
      <c r="I19" s="108"/>
    </row>
    <row r="20" spans="2:9" ht="12.75">
      <c r="B20" s="107"/>
      <c r="C20" s="115">
        <v>17</v>
      </c>
      <c r="D20" s="118"/>
      <c r="E20" s="115"/>
      <c r="F20" s="118"/>
      <c r="G20" s="118"/>
      <c r="H20" s="118"/>
      <c r="I20" s="108"/>
    </row>
    <row r="21" spans="2:9" ht="12.75">
      <c r="B21" s="107"/>
      <c r="C21" s="115">
        <v>18</v>
      </c>
      <c r="D21" s="118"/>
      <c r="E21" s="115"/>
      <c r="F21" s="118"/>
      <c r="G21" s="118"/>
      <c r="H21" s="118"/>
      <c r="I21" s="108"/>
    </row>
    <row r="22" spans="2:9" ht="12.75">
      <c r="B22" s="107"/>
      <c r="C22" s="115">
        <v>19</v>
      </c>
      <c r="D22" s="118"/>
      <c r="E22" s="115"/>
      <c r="F22" s="118"/>
      <c r="G22" s="118"/>
      <c r="H22" s="118"/>
      <c r="I22" s="108"/>
    </row>
    <row r="23" spans="2:9" ht="12.75">
      <c r="B23" s="107"/>
      <c r="C23" s="115">
        <v>20</v>
      </c>
      <c r="D23" s="118"/>
      <c r="E23" s="115"/>
      <c r="F23" s="118"/>
      <c r="G23" s="118"/>
      <c r="H23" s="118"/>
      <c r="I23" s="108"/>
    </row>
    <row r="24" spans="2:9" ht="12.75">
      <c r="B24" s="107"/>
      <c r="C24" s="115">
        <v>21</v>
      </c>
      <c r="D24" s="118"/>
      <c r="E24" s="115"/>
      <c r="F24" s="118"/>
      <c r="G24" s="118"/>
      <c r="H24" s="118"/>
      <c r="I24" s="108"/>
    </row>
    <row r="25" spans="2:9" ht="12.75">
      <c r="B25" s="107"/>
      <c r="C25" s="115">
        <v>22</v>
      </c>
      <c r="D25" s="118"/>
      <c r="E25" s="115"/>
      <c r="F25" s="118"/>
      <c r="G25" s="118"/>
      <c r="H25" s="118"/>
      <c r="I25" s="108"/>
    </row>
    <row r="26" spans="2:9" ht="12.75">
      <c r="B26" s="107"/>
      <c r="C26" s="115">
        <v>23</v>
      </c>
      <c r="D26" s="118"/>
      <c r="E26" s="115"/>
      <c r="F26" s="118"/>
      <c r="G26" s="118"/>
      <c r="H26" s="118"/>
      <c r="I26" s="108"/>
    </row>
    <row r="27" spans="2:9" ht="12.75">
      <c r="B27" s="107"/>
      <c r="C27" s="115">
        <v>24</v>
      </c>
      <c r="D27" s="118"/>
      <c r="E27" s="115"/>
      <c r="F27" s="118"/>
      <c r="G27" s="118"/>
      <c r="H27" s="118"/>
      <c r="I27" s="108"/>
    </row>
    <row r="28" spans="2:9" ht="12.75">
      <c r="B28" s="107"/>
      <c r="C28" s="115">
        <v>25</v>
      </c>
      <c r="D28" s="118"/>
      <c r="E28" s="115"/>
      <c r="F28" s="118"/>
      <c r="G28" s="118"/>
      <c r="H28" s="118"/>
      <c r="I28" s="108"/>
    </row>
    <row r="29" spans="2:9" ht="12.75">
      <c r="B29" s="107"/>
      <c r="C29" s="115">
        <v>26</v>
      </c>
      <c r="D29" s="118"/>
      <c r="E29" s="115"/>
      <c r="F29" s="118"/>
      <c r="G29" s="118"/>
      <c r="H29" s="118"/>
      <c r="I29" s="108"/>
    </row>
    <row r="30" spans="2:9" ht="12.75">
      <c r="B30" s="107"/>
      <c r="C30" s="115">
        <v>27</v>
      </c>
      <c r="D30" s="118"/>
      <c r="E30" s="115"/>
      <c r="F30" s="118"/>
      <c r="G30" s="118"/>
      <c r="H30" s="118"/>
      <c r="I30" s="108"/>
    </row>
    <row r="31" spans="2:9" ht="12.75">
      <c r="B31" s="107"/>
      <c r="C31" s="115">
        <v>28</v>
      </c>
      <c r="D31" s="118"/>
      <c r="E31" s="115"/>
      <c r="F31" s="118"/>
      <c r="G31" s="118"/>
      <c r="H31" s="118"/>
      <c r="I31" s="108"/>
    </row>
    <row r="32" spans="2:9" ht="12.75">
      <c r="B32" s="107"/>
      <c r="C32" s="115">
        <v>29</v>
      </c>
      <c r="D32" s="118"/>
      <c r="E32" s="115"/>
      <c r="F32" s="118"/>
      <c r="G32" s="118"/>
      <c r="H32" s="118"/>
      <c r="I32" s="108"/>
    </row>
    <row r="33" spans="2:9" ht="12.75">
      <c r="B33" s="107"/>
      <c r="C33" s="115">
        <v>30</v>
      </c>
      <c r="D33" s="118"/>
      <c r="E33" s="115"/>
      <c r="F33" s="118"/>
      <c r="G33" s="118"/>
      <c r="H33" s="118"/>
      <c r="I33" s="108"/>
    </row>
    <row r="34" spans="2:9" ht="12.75">
      <c r="B34" s="107"/>
      <c r="C34" s="115">
        <v>31</v>
      </c>
      <c r="D34" s="118"/>
      <c r="E34" s="115"/>
      <c r="F34" s="118"/>
      <c r="G34" s="118"/>
      <c r="H34" s="118"/>
      <c r="I34" s="108"/>
    </row>
    <row r="35" spans="2:9" ht="12.75">
      <c r="B35" s="107"/>
      <c r="C35" s="115">
        <v>32</v>
      </c>
      <c r="D35" s="118"/>
      <c r="E35" s="115"/>
      <c r="F35" s="118"/>
      <c r="G35" s="118"/>
      <c r="H35" s="118"/>
      <c r="I35" s="108"/>
    </row>
    <row r="36" spans="2:9" ht="12.75">
      <c r="B36" s="107"/>
      <c r="C36" s="115">
        <v>33</v>
      </c>
      <c r="D36" s="118"/>
      <c r="E36" s="115"/>
      <c r="F36" s="118"/>
      <c r="G36" s="118"/>
      <c r="H36" s="118"/>
      <c r="I36" s="108"/>
    </row>
    <row r="37" spans="2:9" ht="12.75">
      <c r="B37" s="107"/>
      <c r="C37" s="115">
        <v>34</v>
      </c>
      <c r="D37" s="118"/>
      <c r="E37" s="115"/>
      <c r="F37" s="118"/>
      <c r="G37" s="118"/>
      <c r="H37" s="118"/>
      <c r="I37" s="108"/>
    </row>
    <row r="38" spans="2:9" ht="12.75">
      <c r="B38" s="107"/>
      <c r="C38" s="115">
        <v>35</v>
      </c>
      <c r="D38" s="118"/>
      <c r="E38" s="115"/>
      <c r="F38" s="118"/>
      <c r="G38" s="118"/>
      <c r="H38" s="118"/>
      <c r="I38" s="108"/>
    </row>
    <row r="39" spans="2:9" ht="12.75">
      <c r="B39" s="107"/>
      <c r="C39" s="115">
        <v>36</v>
      </c>
      <c r="D39" s="118"/>
      <c r="E39" s="115"/>
      <c r="F39" s="118"/>
      <c r="G39" s="118"/>
      <c r="H39" s="118"/>
      <c r="I39" s="108"/>
    </row>
    <row r="40" spans="2:9" ht="12.75">
      <c r="B40" s="107"/>
      <c r="C40" s="115">
        <v>37</v>
      </c>
      <c r="D40" s="118"/>
      <c r="E40" s="115"/>
      <c r="F40" s="118"/>
      <c r="G40" s="118"/>
      <c r="H40" s="118"/>
      <c r="I40" s="108"/>
    </row>
    <row r="41" spans="2:9" ht="12.75">
      <c r="B41" s="107"/>
      <c r="C41" s="115">
        <v>38</v>
      </c>
      <c r="D41" s="118"/>
      <c r="E41" s="115"/>
      <c r="F41" s="118"/>
      <c r="G41" s="118"/>
      <c r="H41" s="118"/>
      <c r="I41" s="108"/>
    </row>
    <row r="42" spans="2:9" ht="12.75">
      <c r="B42" s="107"/>
      <c r="C42" s="115">
        <v>39</v>
      </c>
      <c r="D42" s="118"/>
      <c r="E42" s="115"/>
      <c r="F42" s="118"/>
      <c r="G42" s="118"/>
      <c r="H42" s="118"/>
      <c r="I42" s="108"/>
    </row>
    <row r="43" spans="2:9" ht="12.75">
      <c r="B43" s="107"/>
      <c r="C43" s="115">
        <v>40</v>
      </c>
      <c r="D43" s="118"/>
      <c r="E43" s="115"/>
      <c r="F43" s="118"/>
      <c r="G43" s="118"/>
      <c r="H43" s="118"/>
      <c r="I43" s="108"/>
    </row>
    <row r="44" spans="2:9" ht="12.75">
      <c r="B44" s="107"/>
      <c r="C44" s="115">
        <v>41</v>
      </c>
      <c r="D44" s="118"/>
      <c r="E44" s="115"/>
      <c r="F44" s="118"/>
      <c r="G44" s="118"/>
      <c r="H44" s="118"/>
      <c r="I44" s="108"/>
    </row>
    <row r="45" spans="2:9" ht="12.75">
      <c r="B45" s="107"/>
      <c r="C45" s="115">
        <v>42</v>
      </c>
      <c r="D45" s="118"/>
      <c r="E45" s="115"/>
      <c r="F45" s="118"/>
      <c r="G45" s="118"/>
      <c r="H45" s="118"/>
      <c r="I45" s="108"/>
    </row>
    <row r="46" spans="2:9" ht="12.75">
      <c r="B46" s="107"/>
      <c r="C46" s="115">
        <v>43</v>
      </c>
      <c r="D46" s="118"/>
      <c r="E46" s="115"/>
      <c r="F46" s="118"/>
      <c r="G46" s="118"/>
      <c r="H46" s="118"/>
      <c r="I46" s="108"/>
    </row>
    <row r="47" spans="2:9" ht="12.75">
      <c r="B47" s="107"/>
      <c r="C47" s="115">
        <v>44</v>
      </c>
      <c r="D47" s="118"/>
      <c r="E47" s="115"/>
      <c r="F47" s="118"/>
      <c r="G47" s="118"/>
      <c r="H47" s="118"/>
      <c r="I47" s="108"/>
    </row>
    <row r="48" spans="2:9" ht="12.75">
      <c r="B48" s="107"/>
      <c r="C48" s="115">
        <v>45</v>
      </c>
      <c r="D48" s="118"/>
      <c r="E48" s="115"/>
      <c r="F48" s="118"/>
      <c r="G48" s="118"/>
      <c r="H48" s="118"/>
      <c r="I48" s="108"/>
    </row>
    <row r="49" spans="2:9" ht="12.75">
      <c r="B49" s="107"/>
      <c r="C49" s="115">
        <v>46</v>
      </c>
      <c r="D49" s="118"/>
      <c r="E49" s="115"/>
      <c r="F49" s="118"/>
      <c r="G49" s="118"/>
      <c r="H49" s="118"/>
      <c r="I49" s="108"/>
    </row>
    <row r="50" spans="2:9" ht="12.75">
      <c r="B50" s="107"/>
      <c r="C50" s="115">
        <v>47</v>
      </c>
      <c r="D50" s="118"/>
      <c r="E50" s="115"/>
      <c r="F50" s="118"/>
      <c r="G50" s="118"/>
      <c r="H50" s="118"/>
      <c r="I50" s="108"/>
    </row>
    <row r="51" spans="2:9" ht="12.75">
      <c r="B51" s="107"/>
      <c r="C51" s="115">
        <v>48</v>
      </c>
      <c r="D51" s="118"/>
      <c r="E51" s="115"/>
      <c r="F51" s="118"/>
      <c r="G51" s="118"/>
      <c r="H51" s="118"/>
      <c r="I51" s="108"/>
    </row>
    <row r="52" spans="2:9" ht="12.75">
      <c r="B52" s="107"/>
      <c r="C52" s="115">
        <v>49</v>
      </c>
      <c r="D52" s="118"/>
      <c r="E52" s="115"/>
      <c r="F52" s="118"/>
      <c r="G52" s="118"/>
      <c r="H52" s="118"/>
      <c r="I52" s="108"/>
    </row>
    <row r="53" spans="2:9" ht="12.75">
      <c r="B53" s="107"/>
      <c r="C53" s="115">
        <v>50</v>
      </c>
      <c r="D53" s="118"/>
      <c r="E53" s="115"/>
      <c r="F53" s="118"/>
      <c r="G53" s="118"/>
      <c r="H53" s="118"/>
      <c r="I53" s="108"/>
    </row>
    <row r="54" spans="2:9" ht="12.75">
      <c r="B54" s="107"/>
      <c r="C54" s="115">
        <v>51</v>
      </c>
      <c r="D54" s="118"/>
      <c r="E54" s="115"/>
      <c r="F54" s="118"/>
      <c r="G54" s="118"/>
      <c r="H54" s="118"/>
      <c r="I54" s="108"/>
    </row>
    <row r="55" spans="2:9" ht="12.75">
      <c r="B55" s="107"/>
      <c r="C55" s="115">
        <v>52</v>
      </c>
      <c r="D55" s="118"/>
      <c r="E55" s="115"/>
      <c r="F55" s="118"/>
      <c r="G55" s="118"/>
      <c r="H55" s="118"/>
      <c r="I55" s="108"/>
    </row>
    <row r="56" spans="2:9" ht="12.75">
      <c r="B56" s="107"/>
      <c r="C56" s="115">
        <v>53</v>
      </c>
      <c r="D56" s="118"/>
      <c r="E56" s="115"/>
      <c r="F56" s="118"/>
      <c r="G56" s="118"/>
      <c r="H56" s="118"/>
      <c r="I56" s="108"/>
    </row>
    <row r="57" spans="2:9" ht="12.75">
      <c r="B57" s="107"/>
      <c r="C57" s="115">
        <v>54</v>
      </c>
      <c r="D57" s="118"/>
      <c r="E57" s="115"/>
      <c r="F57" s="118"/>
      <c r="G57" s="118"/>
      <c r="H57" s="118"/>
      <c r="I57" s="108"/>
    </row>
    <row r="58" spans="2:9" ht="12.75">
      <c r="B58" s="107"/>
      <c r="C58" s="115">
        <v>55</v>
      </c>
      <c r="D58" s="118"/>
      <c r="E58" s="115"/>
      <c r="F58" s="118"/>
      <c r="G58" s="118"/>
      <c r="H58" s="118"/>
      <c r="I58" s="108"/>
    </row>
    <row r="59" spans="2:9" ht="12.75">
      <c r="B59" s="107"/>
      <c r="C59" s="115">
        <v>56</v>
      </c>
      <c r="D59" s="118"/>
      <c r="E59" s="115"/>
      <c r="F59" s="118"/>
      <c r="G59" s="118"/>
      <c r="H59" s="118"/>
      <c r="I59" s="108"/>
    </row>
    <row r="60" spans="2:9" ht="12.75">
      <c r="B60" s="107"/>
      <c r="C60" s="115">
        <v>57</v>
      </c>
      <c r="D60" s="118"/>
      <c r="E60" s="115"/>
      <c r="F60" s="118"/>
      <c r="G60" s="118"/>
      <c r="H60" s="118"/>
      <c r="I60" s="108"/>
    </row>
    <row r="61" spans="2:9" ht="12.75">
      <c r="B61" s="107"/>
      <c r="C61" s="115">
        <v>58</v>
      </c>
      <c r="D61" s="118"/>
      <c r="E61" s="115"/>
      <c r="F61" s="118"/>
      <c r="G61" s="118"/>
      <c r="H61" s="118"/>
      <c r="I61" s="108"/>
    </row>
    <row r="62" spans="2:9" ht="12.75">
      <c r="B62" s="107"/>
      <c r="C62" s="115">
        <v>59</v>
      </c>
      <c r="D62" s="118"/>
      <c r="E62" s="115"/>
      <c r="F62" s="118"/>
      <c r="G62" s="118"/>
      <c r="H62" s="118"/>
      <c r="I62" s="108"/>
    </row>
    <row r="63" spans="2:9" ht="12.75">
      <c r="B63" s="107"/>
      <c r="C63" s="115">
        <v>60</v>
      </c>
      <c r="D63" s="118"/>
      <c r="E63" s="115"/>
      <c r="F63" s="118"/>
      <c r="G63" s="118"/>
      <c r="H63" s="118"/>
      <c r="I63" s="108"/>
    </row>
    <row r="64" spans="2:9" ht="12.75">
      <c r="B64" s="107"/>
      <c r="C64" s="115">
        <v>61</v>
      </c>
      <c r="D64" s="118"/>
      <c r="E64" s="115"/>
      <c r="F64" s="118"/>
      <c r="G64" s="118"/>
      <c r="H64" s="118"/>
      <c r="I64" s="108"/>
    </row>
    <row r="65" spans="2:9" ht="12.75">
      <c r="B65" s="107"/>
      <c r="C65" s="115">
        <v>62</v>
      </c>
      <c r="D65" s="118"/>
      <c r="E65" s="115"/>
      <c r="F65" s="118"/>
      <c r="G65" s="118"/>
      <c r="H65" s="118"/>
      <c r="I65" s="108"/>
    </row>
    <row r="66" spans="2:9" ht="12.75">
      <c r="B66" s="107"/>
      <c r="C66" s="115">
        <v>63</v>
      </c>
      <c r="D66" s="118"/>
      <c r="E66" s="115"/>
      <c r="F66" s="118"/>
      <c r="G66" s="118"/>
      <c r="H66" s="118"/>
      <c r="I66" s="108"/>
    </row>
    <row r="67" spans="2:9" ht="12.75">
      <c r="B67" s="107"/>
      <c r="C67" s="115">
        <v>64</v>
      </c>
      <c r="D67" s="118"/>
      <c r="E67" s="115"/>
      <c r="F67" s="118"/>
      <c r="G67" s="118"/>
      <c r="H67" s="118"/>
      <c r="I67" s="108"/>
    </row>
    <row r="68" spans="2:9" ht="12.75">
      <c r="B68" s="107"/>
      <c r="C68" s="115">
        <v>65</v>
      </c>
      <c r="D68" s="118"/>
      <c r="E68" s="115"/>
      <c r="F68" s="118"/>
      <c r="G68" s="118"/>
      <c r="H68" s="118"/>
      <c r="I68" s="108"/>
    </row>
    <row r="69" spans="2:9" ht="12.75">
      <c r="B69" s="107"/>
      <c r="C69" s="115">
        <v>66</v>
      </c>
      <c r="D69" s="118"/>
      <c r="E69" s="115"/>
      <c r="F69" s="118"/>
      <c r="G69" s="118"/>
      <c r="H69" s="118"/>
      <c r="I69" s="108"/>
    </row>
    <row r="70" spans="2:9" ht="12.75">
      <c r="B70" s="107"/>
      <c r="C70" s="115">
        <v>67</v>
      </c>
      <c r="D70" s="118"/>
      <c r="E70" s="115"/>
      <c r="F70" s="118"/>
      <c r="G70" s="118"/>
      <c r="H70" s="118"/>
      <c r="I70" s="108"/>
    </row>
    <row r="71" spans="2:9" ht="12.75">
      <c r="B71" s="107"/>
      <c r="C71" s="115">
        <v>68</v>
      </c>
      <c r="D71" s="118"/>
      <c r="E71" s="115"/>
      <c r="F71" s="118"/>
      <c r="G71" s="118"/>
      <c r="H71" s="118"/>
      <c r="I71" s="108"/>
    </row>
    <row r="72" spans="2:9" ht="12.75">
      <c r="B72" s="107"/>
      <c r="C72" s="115">
        <v>69</v>
      </c>
      <c r="D72" s="118"/>
      <c r="E72" s="115"/>
      <c r="F72" s="118"/>
      <c r="G72" s="118"/>
      <c r="H72" s="118"/>
      <c r="I72" s="108"/>
    </row>
    <row r="73" spans="2:9" ht="12.75">
      <c r="B73" s="107"/>
      <c r="C73" s="115">
        <v>70</v>
      </c>
      <c r="D73" s="118"/>
      <c r="E73" s="115"/>
      <c r="F73" s="118"/>
      <c r="G73" s="118"/>
      <c r="H73" s="118"/>
      <c r="I73" s="108"/>
    </row>
    <row r="74" spans="2:9" ht="12.75">
      <c r="B74" s="107"/>
      <c r="C74" s="115">
        <v>71</v>
      </c>
      <c r="D74" s="118"/>
      <c r="E74" s="115"/>
      <c r="F74" s="118"/>
      <c r="G74" s="118"/>
      <c r="H74" s="118"/>
      <c r="I74" s="108"/>
    </row>
    <row r="75" spans="2:9" ht="12.75">
      <c r="B75" s="107"/>
      <c r="C75" s="115">
        <v>72</v>
      </c>
      <c r="D75" s="118"/>
      <c r="E75" s="115"/>
      <c r="F75" s="118"/>
      <c r="G75" s="118"/>
      <c r="H75" s="118"/>
      <c r="I75" s="108"/>
    </row>
    <row r="76" spans="2:9" ht="12.75">
      <c r="B76" s="107"/>
      <c r="C76" s="115">
        <v>73</v>
      </c>
      <c r="D76" s="118"/>
      <c r="E76" s="115"/>
      <c r="F76" s="118"/>
      <c r="G76" s="118"/>
      <c r="H76" s="118"/>
      <c r="I76" s="108"/>
    </row>
    <row r="77" spans="2:9" ht="12.75">
      <c r="B77" s="107"/>
      <c r="C77" s="115">
        <v>74</v>
      </c>
      <c r="D77" s="118"/>
      <c r="E77" s="115"/>
      <c r="F77" s="118"/>
      <c r="G77" s="118"/>
      <c r="H77" s="118"/>
      <c r="I77" s="108"/>
    </row>
    <row r="78" spans="2:9" ht="12.75">
      <c r="B78" s="107"/>
      <c r="C78" s="115">
        <v>75</v>
      </c>
      <c r="D78" s="118"/>
      <c r="E78" s="115"/>
      <c r="F78" s="118"/>
      <c r="G78" s="118"/>
      <c r="H78" s="118"/>
      <c r="I78" s="108"/>
    </row>
    <row r="79" spans="2:9" ht="12.75">
      <c r="B79" s="107"/>
      <c r="C79" s="115">
        <v>76</v>
      </c>
      <c r="D79" s="118"/>
      <c r="E79" s="115"/>
      <c r="F79" s="118"/>
      <c r="G79" s="118"/>
      <c r="H79" s="118"/>
      <c r="I79" s="108"/>
    </row>
    <row r="80" spans="2:9" ht="12.75">
      <c r="B80" s="107"/>
      <c r="C80" s="115">
        <v>77</v>
      </c>
      <c r="D80" s="118"/>
      <c r="E80" s="115"/>
      <c r="F80" s="118"/>
      <c r="G80" s="118"/>
      <c r="H80" s="118"/>
      <c r="I80" s="108"/>
    </row>
    <row r="81" spans="2:9" ht="12.75">
      <c r="B81" s="107"/>
      <c r="C81" s="115">
        <v>78</v>
      </c>
      <c r="D81" s="118"/>
      <c r="E81" s="115"/>
      <c r="F81" s="118"/>
      <c r="G81" s="118"/>
      <c r="H81" s="118"/>
      <c r="I81" s="108"/>
    </row>
    <row r="82" spans="2:9" ht="12.75">
      <c r="B82" s="107"/>
      <c r="C82" s="115">
        <v>79</v>
      </c>
      <c r="D82" s="118"/>
      <c r="E82" s="115"/>
      <c r="F82" s="118"/>
      <c r="G82" s="118"/>
      <c r="H82" s="118"/>
      <c r="I82" s="108"/>
    </row>
    <row r="83" spans="2:9" ht="12.75">
      <c r="B83" s="107"/>
      <c r="C83" s="115">
        <v>80</v>
      </c>
      <c r="D83" s="118"/>
      <c r="E83" s="115"/>
      <c r="F83" s="118"/>
      <c r="G83" s="118"/>
      <c r="H83" s="118"/>
      <c r="I83" s="108"/>
    </row>
    <row r="84" spans="2:9" ht="12.75">
      <c r="B84" s="107"/>
      <c r="C84" s="115">
        <v>81</v>
      </c>
      <c r="D84" s="118"/>
      <c r="E84" s="115"/>
      <c r="F84" s="118"/>
      <c r="G84" s="118"/>
      <c r="H84" s="118"/>
      <c r="I84" s="108"/>
    </row>
    <row r="85" spans="2:9" ht="12.75">
      <c r="B85" s="107"/>
      <c r="C85" s="115">
        <v>82</v>
      </c>
      <c r="D85" s="118"/>
      <c r="E85" s="115"/>
      <c r="F85" s="118"/>
      <c r="G85" s="118"/>
      <c r="H85" s="118"/>
      <c r="I85" s="108"/>
    </row>
    <row r="86" spans="2:9" ht="12.75">
      <c r="B86" s="107"/>
      <c r="C86" s="115">
        <v>83</v>
      </c>
      <c r="D86" s="118"/>
      <c r="E86" s="115"/>
      <c r="F86" s="118"/>
      <c r="G86" s="118"/>
      <c r="H86" s="118"/>
      <c r="I86" s="108"/>
    </row>
    <row r="87" spans="2:9" ht="12.75">
      <c r="B87" s="107"/>
      <c r="C87" s="115">
        <v>84</v>
      </c>
      <c r="D87" s="118"/>
      <c r="E87" s="115"/>
      <c r="F87" s="118"/>
      <c r="G87" s="118"/>
      <c r="H87" s="118"/>
      <c r="I87" s="108"/>
    </row>
    <row r="88" spans="2:9" ht="12.75">
      <c r="B88" s="107"/>
      <c r="C88" s="115">
        <v>85</v>
      </c>
      <c r="D88" s="118"/>
      <c r="E88" s="115"/>
      <c r="F88" s="118"/>
      <c r="G88" s="118"/>
      <c r="H88" s="118"/>
      <c r="I88" s="108"/>
    </row>
    <row r="89" spans="2:9" ht="12.75">
      <c r="B89" s="107"/>
      <c r="C89" s="115">
        <v>86</v>
      </c>
      <c r="D89" s="118"/>
      <c r="E89" s="115"/>
      <c r="F89" s="118"/>
      <c r="G89" s="118"/>
      <c r="H89" s="118"/>
      <c r="I89" s="108"/>
    </row>
    <row r="90" spans="2:9" ht="12.75">
      <c r="B90" s="107"/>
      <c r="C90" s="115">
        <v>87</v>
      </c>
      <c r="D90" s="118"/>
      <c r="E90" s="115"/>
      <c r="F90" s="118"/>
      <c r="G90" s="118"/>
      <c r="H90" s="118"/>
      <c r="I90" s="108"/>
    </row>
    <row r="91" spans="2:9" ht="12.75">
      <c r="B91" s="107"/>
      <c r="C91" s="115">
        <v>88</v>
      </c>
      <c r="D91" s="118"/>
      <c r="E91" s="115"/>
      <c r="F91" s="118"/>
      <c r="G91" s="118"/>
      <c r="H91" s="118"/>
      <c r="I91" s="108"/>
    </row>
    <row r="92" spans="2:9" ht="12.75">
      <c r="B92" s="107"/>
      <c r="C92" s="115">
        <v>89</v>
      </c>
      <c r="D92" s="118"/>
      <c r="E92" s="115"/>
      <c r="F92" s="118"/>
      <c r="G92" s="118"/>
      <c r="H92" s="118"/>
      <c r="I92" s="108"/>
    </row>
    <row r="93" spans="2:9" ht="12.75">
      <c r="B93" s="107"/>
      <c r="C93" s="115">
        <v>90</v>
      </c>
      <c r="D93" s="118"/>
      <c r="E93" s="115"/>
      <c r="F93" s="118"/>
      <c r="G93" s="118"/>
      <c r="H93" s="118"/>
      <c r="I93" s="108"/>
    </row>
    <row r="94" spans="2:9" ht="12.75">
      <c r="B94" s="107"/>
      <c r="C94" s="115">
        <v>91</v>
      </c>
      <c r="D94" s="118"/>
      <c r="E94" s="115"/>
      <c r="F94" s="118"/>
      <c r="G94" s="118"/>
      <c r="H94" s="118"/>
      <c r="I94" s="108"/>
    </row>
    <row r="95" spans="2:9" ht="12.75">
      <c r="B95" s="107"/>
      <c r="C95" s="115">
        <v>92</v>
      </c>
      <c r="D95" s="118"/>
      <c r="E95" s="115"/>
      <c r="F95" s="118"/>
      <c r="G95" s="118"/>
      <c r="H95" s="118"/>
      <c r="I95" s="108"/>
    </row>
    <row r="96" spans="2:9" ht="12.75">
      <c r="B96" s="107"/>
      <c r="C96" s="115">
        <v>93</v>
      </c>
      <c r="D96" s="118"/>
      <c r="E96" s="115"/>
      <c r="F96" s="118"/>
      <c r="G96" s="118"/>
      <c r="H96" s="118"/>
      <c r="I96" s="108"/>
    </row>
    <row r="97" spans="2:9" ht="12.75">
      <c r="B97" s="107"/>
      <c r="C97" s="115">
        <v>94</v>
      </c>
      <c r="D97" s="118"/>
      <c r="E97" s="115"/>
      <c r="F97" s="118"/>
      <c r="G97" s="118"/>
      <c r="H97" s="118"/>
      <c r="I97" s="108"/>
    </row>
    <row r="98" spans="2:9" ht="12.75">
      <c r="B98" s="107"/>
      <c r="C98" s="115">
        <v>95</v>
      </c>
      <c r="D98" s="118"/>
      <c r="E98" s="115"/>
      <c r="F98" s="118"/>
      <c r="G98" s="118"/>
      <c r="H98" s="118"/>
      <c r="I98" s="108"/>
    </row>
    <row r="99" spans="2:9" ht="12.75">
      <c r="B99" s="107"/>
      <c r="C99" s="115">
        <v>96</v>
      </c>
      <c r="D99" s="118"/>
      <c r="E99" s="115"/>
      <c r="F99" s="118"/>
      <c r="G99" s="118"/>
      <c r="H99" s="118"/>
      <c r="I99" s="108"/>
    </row>
    <row r="100" spans="2:9" ht="12.75">
      <c r="B100" s="107"/>
      <c r="C100" s="115">
        <v>97</v>
      </c>
      <c r="D100" s="118"/>
      <c r="E100" s="115"/>
      <c r="F100" s="118"/>
      <c r="G100" s="118"/>
      <c r="H100" s="118"/>
      <c r="I100" s="108"/>
    </row>
    <row r="101" spans="2:9" ht="12.75">
      <c r="B101" s="107"/>
      <c r="C101" s="115">
        <v>98</v>
      </c>
      <c r="D101" s="118"/>
      <c r="E101" s="115"/>
      <c r="F101" s="118"/>
      <c r="G101" s="118"/>
      <c r="H101" s="118"/>
      <c r="I101" s="108"/>
    </row>
    <row r="102" spans="2:9" ht="12.75">
      <c r="B102" s="107"/>
      <c r="C102" s="115">
        <v>99</v>
      </c>
      <c r="D102" s="118"/>
      <c r="E102" s="115"/>
      <c r="F102" s="118"/>
      <c r="G102" s="118"/>
      <c r="H102" s="118"/>
      <c r="I102" s="108"/>
    </row>
    <row r="103" spans="2:9" ht="12.75">
      <c r="B103" s="107"/>
      <c r="C103" s="115">
        <v>100</v>
      </c>
      <c r="D103" s="118"/>
      <c r="E103" s="115"/>
      <c r="F103" s="118"/>
      <c r="G103" s="118"/>
      <c r="H103" s="118"/>
      <c r="I103" s="108"/>
    </row>
    <row r="104" spans="2:9" ht="12.75">
      <c r="B104" s="107"/>
      <c r="C104" s="115">
        <v>101</v>
      </c>
      <c r="D104" s="118"/>
      <c r="E104" s="115"/>
      <c r="F104" s="118"/>
      <c r="G104" s="118"/>
      <c r="H104" s="118"/>
      <c r="I104" s="108"/>
    </row>
    <row r="105" spans="2:9" ht="12.75">
      <c r="B105" s="107"/>
      <c r="C105" s="115">
        <v>102</v>
      </c>
      <c r="D105" s="118"/>
      <c r="E105" s="115"/>
      <c r="F105" s="118"/>
      <c r="G105" s="118"/>
      <c r="H105" s="118"/>
      <c r="I105" s="108"/>
    </row>
    <row r="106" spans="2:9" ht="12.75">
      <c r="B106" s="107"/>
      <c r="C106" s="115">
        <v>103</v>
      </c>
      <c r="D106" s="118"/>
      <c r="E106" s="115"/>
      <c r="F106" s="118"/>
      <c r="G106" s="118"/>
      <c r="H106" s="118"/>
      <c r="I106" s="108"/>
    </row>
    <row r="107" spans="2:9" ht="12.75">
      <c r="B107" s="107"/>
      <c r="C107" s="115">
        <v>104</v>
      </c>
      <c r="D107" s="118"/>
      <c r="E107" s="115"/>
      <c r="F107" s="118"/>
      <c r="G107" s="118"/>
      <c r="H107" s="118"/>
      <c r="I107" s="108"/>
    </row>
    <row r="108" spans="2:9" ht="12.75">
      <c r="B108" s="107"/>
      <c r="C108" s="115">
        <v>105</v>
      </c>
      <c r="D108" s="118"/>
      <c r="E108" s="115"/>
      <c r="F108" s="118"/>
      <c r="G108" s="118"/>
      <c r="H108" s="118"/>
      <c r="I108" s="108"/>
    </row>
    <row r="109" spans="2:9" ht="12.75">
      <c r="B109" s="107"/>
      <c r="C109" s="115">
        <v>106</v>
      </c>
      <c r="D109" s="118"/>
      <c r="E109" s="115"/>
      <c r="F109" s="118"/>
      <c r="G109" s="118"/>
      <c r="H109" s="118"/>
      <c r="I109" s="108"/>
    </row>
    <row r="110" spans="2:9" ht="12.75">
      <c r="B110" s="107"/>
      <c r="C110" s="115">
        <v>107</v>
      </c>
      <c r="D110" s="118"/>
      <c r="E110" s="115"/>
      <c r="F110" s="118"/>
      <c r="G110" s="118"/>
      <c r="H110" s="118"/>
      <c r="I110" s="108"/>
    </row>
    <row r="111" spans="2:9" ht="12.75">
      <c r="B111" s="107"/>
      <c r="C111" s="115">
        <v>108</v>
      </c>
      <c r="D111" s="118"/>
      <c r="E111" s="115"/>
      <c r="F111" s="118"/>
      <c r="G111" s="118"/>
      <c r="H111" s="118"/>
      <c r="I111" s="108"/>
    </row>
    <row r="112" spans="2:9" ht="12.75">
      <c r="B112" s="107"/>
      <c r="C112" s="115">
        <v>109</v>
      </c>
      <c r="D112" s="118"/>
      <c r="E112" s="115"/>
      <c r="F112" s="118"/>
      <c r="G112" s="118"/>
      <c r="H112" s="118"/>
      <c r="I112" s="108"/>
    </row>
    <row r="113" spans="2:9" ht="12.75">
      <c r="B113" s="107"/>
      <c r="C113" s="115">
        <v>110</v>
      </c>
      <c r="D113" s="118"/>
      <c r="E113" s="115"/>
      <c r="F113" s="118"/>
      <c r="G113" s="118"/>
      <c r="H113" s="118"/>
      <c r="I113" s="108"/>
    </row>
    <row r="114" spans="2:9" ht="12.75">
      <c r="B114" s="107"/>
      <c r="C114" s="115">
        <v>111</v>
      </c>
      <c r="D114" s="118"/>
      <c r="E114" s="115"/>
      <c r="F114" s="118"/>
      <c r="G114" s="118"/>
      <c r="H114" s="118"/>
      <c r="I114" s="108"/>
    </row>
    <row r="115" spans="2:9" ht="12.75">
      <c r="B115" s="107"/>
      <c r="C115" s="115">
        <v>112</v>
      </c>
      <c r="D115" s="118"/>
      <c r="E115" s="115"/>
      <c r="F115" s="118"/>
      <c r="G115" s="118"/>
      <c r="H115" s="118"/>
      <c r="I115" s="108"/>
    </row>
    <row r="116" spans="2:9" ht="12.75">
      <c r="B116" s="107"/>
      <c r="C116" s="115">
        <v>113</v>
      </c>
      <c r="D116" s="118"/>
      <c r="E116" s="115"/>
      <c r="F116" s="118"/>
      <c r="G116" s="118"/>
      <c r="H116" s="118"/>
      <c r="I116" s="108"/>
    </row>
    <row r="117" spans="2:9" ht="12.75">
      <c r="B117" s="107"/>
      <c r="C117" s="115">
        <v>114</v>
      </c>
      <c r="D117" s="118"/>
      <c r="E117" s="115"/>
      <c r="F117" s="118"/>
      <c r="G117" s="118"/>
      <c r="H117" s="118"/>
      <c r="I117" s="108"/>
    </row>
    <row r="118" spans="2:9" ht="12.75">
      <c r="B118" s="107"/>
      <c r="C118" s="115">
        <v>115</v>
      </c>
      <c r="D118" s="118"/>
      <c r="E118" s="115"/>
      <c r="F118" s="118"/>
      <c r="G118" s="118"/>
      <c r="H118" s="118"/>
      <c r="I118" s="108"/>
    </row>
    <row r="119" spans="2:9" ht="12.75">
      <c r="B119" s="107"/>
      <c r="C119" s="115">
        <v>116</v>
      </c>
      <c r="D119" s="118"/>
      <c r="E119" s="115"/>
      <c r="F119" s="118"/>
      <c r="G119" s="118"/>
      <c r="H119" s="118"/>
      <c r="I119" s="108"/>
    </row>
    <row r="120" spans="2:9" ht="12.75">
      <c r="B120" s="107"/>
      <c r="C120" s="115">
        <v>117</v>
      </c>
      <c r="D120" s="118"/>
      <c r="E120" s="115"/>
      <c r="F120" s="118"/>
      <c r="G120" s="118"/>
      <c r="H120" s="118"/>
      <c r="I120" s="108"/>
    </row>
    <row r="121" spans="2:9" ht="12.75">
      <c r="B121" s="107"/>
      <c r="C121" s="115">
        <v>118</v>
      </c>
      <c r="D121" s="118"/>
      <c r="E121" s="115"/>
      <c r="F121" s="118"/>
      <c r="G121" s="118"/>
      <c r="H121" s="118"/>
      <c r="I121" s="108"/>
    </row>
    <row r="122" spans="2:9" ht="12.75">
      <c r="B122" s="107"/>
      <c r="C122" s="115">
        <v>119</v>
      </c>
      <c r="D122" s="118"/>
      <c r="E122" s="115"/>
      <c r="F122" s="118"/>
      <c r="G122" s="118"/>
      <c r="H122" s="118"/>
      <c r="I122" s="108"/>
    </row>
    <row r="123" spans="2:9" ht="12.75">
      <c r="B123" s="107"/>
      <c r="C123" s="115">
        <v>120</v>
      </c>
      <c r="D123" s="118"/>
      <c r="E123" s="115"/>
      <c r="F123" s="118"/>
      <c r="G123" s="118"/>
      <c r="H123" s="118"/>
      <c r="I123" s="108"/>
    </row>
    <row r="124" spans="2:9" ht="12.75">
      <c r="B124" s="107"/>
      <c r="C124" s="115">
        <v>121</v>
      </c>
      <c r="D124" s="118"/>
      <c r="E124" s="115"/>
      <c r="F124" s="118"/>
      <c r="G124" s="118"/>
      <c r="H124" s="118"/>
      <c r="I124" s="108"/>
    </row>
    <row r="125" spans="2:9" ht="12.75">
      <c r="B125" s="107"/>
      <c r="C125" s="115">
        <v>122</v>
      </c>
      <c r="D125" s="118"/>
      <c r="E125" s="115"/>
      <c r="F125" s="118"/>
      <c r="G125" s="118"/>
      <c r="H125" s="118"/>
      <c r="I125" s="108"/>
    </row>
    <row r="126" spans="2:9" ht="12.75">
      <c r="B126" s="107"/>
      <c r="C126" s="115">
        <v>123</v>
      </c>
      <c r="D126" s="118"/>
      <c r="E126" s="115"/>
      <c r="F126" s="118"/>
      <c r="G126" s="118"/>
      <c r="H126" s="118"/>
      <c r="I126" s="108"/>
    </row>
    <row r="127" spans="2:9" ht="12.75">
      <c r="B127" s="107"/>
      <c r="C127" s="115">
        <v>124</v>
      </c>
      <c r="D127" s="118"/>
      <c r="E127" s="115"/>
      <c r="F127" s="118"/>
      <c r="G127" s="118"/>
      <c r="H127" s="118"/>
      <c r="I127" s="108"/>
    </row>
    <row r="128" spans="2:9" ht="12.75">
      <c r="B128" s="107"/>
      <c r="C128" s="115">
        <v>125</v>
      </c>
      <c r="D128" s="118"/>
      <c r="E128" s="115"/>
      <c r="F128" s="118"/>
      <c r="G128" s="118"/>
      <c r="H128" s="118"/>
      <c r="I128" s="108"/>
    </row>
    <row r="129" spans="2:9" ht="12.75">
      <c r="B129" s="107"/>
      <c r="C129" s="115">
        <v>126</v>
      </c>
      <c r="D129" s="118"/>
      <c r="E129" s="115"/>
      <c r="F129" s="118"/>
      <c r="G129" s="118"/>
      <c r="H129" s="118"/>
      <c r="I129" s="108"/>
    </row>
    <row r="130" spans="2:9" ht="12.75">
      <c r="B130" s="107"/>
      <c r="C130" s="115">
        <v>127</v>
      </c>
      <c r="D130" s="118"/>
      <c r="E130" s="115"/>
      <c r="F130" s="118"/>
      <c r="G130" s="118"/>
      <c r="H130" s="118"/>
      <c r="I130" s="108"/>
    </row>
    <row r="131" spans="2:9" ht="12.75">
      <c r="B131" s="107"/>
      <c r="C131" s="115">
        <v>128</v>
      </c>
      <c r="D131" s="118"/>
      <c r="E131" s="115"/>
      <c r="F131" s="118"/>
      <c r="G131" s="118"/>
      <c r="H131" s="118"/>
      <c r="I131" s="108"/>
    </row>
    <row r="132" spans="2:9" ht="12.75">
      <c r="B132" s="107"/>
      <c r="C132" s="115">
        <v>129</v>
      </c>
      <c r="D132" s="118"/>
      <c r="E132" s="115"/>
      <c r="F132" s="118"/>
      <c r="G132" s="118"/>
      <c r="H132" s="118"/>
      <c r="I132" s="108"/>
    </row>
    <row r="133" spans="2:9" ht="12.75">
      <c r="B133" s="107"/>
      <c r="C133" s="115">
        <v>130</v>
      </c>
      <c r="D133" s="118"/>
      <c r="E133" s="115"/>
      <c r="F133" s="118"/>
      <c r="G133" s="118"/>
      <c r="H133" s="118"/>
      <c r="I133" s="108"/>
    </row>
    <row r="134" spans="2:9" ht="12.75">
      <c r="B134" s="107"/>
      <c r="C134" s="115">
        <v>131</v>
      </c>
      <c r="D134" s="118"/>
      <c r="E134" s="115"/>
      <c r="F134" s="118"/>
      <c r="G134" s="118"/>
      <c r="H134" s="118"/>
      <c r="I134" s="108"/>
    </row>
    <row r="135" spans="2:9" ht="12.75">
      <c r="B135" s="107"/>
      <c r="C135" s="115">
        <v>132</v>
      </c>
      <c r="D135" s="118"/>
      <c r="E135" s="115"/>
      <c r="F135" s="118"/>
      <c r="G135" s="118"/>
      <c r="H135" s="118"/>
      <c r="I135" s="108"/>
    </row>
    <row r="136" spans="2:9" ht="12.75">
      <c r="B136" s="107"/>
      <c r="C136" s="115">
        <v>133</v>
      </c>
      <c r="D136" s="118"/>
      <c r="E136" s="115"/>
      <c r="F136" s="118"/>
      <c r="G136" s="118"/>
      <c r="H136" s="118"/>
      <c r="I136" s="108"/>
    </row>
    <row r="137" spans="2:9" ht="12.75">
      <c r="B137" s="107"/>
      <c r="C137" s="115">
        <v>134</v>
      </c>
      <c r="D137" s="118"/>
      <c r="E137" s="115"/>
      <c r="F137" s="118"/>
      <c r="G137" s="118"/>
      <c r="H137" s="118"/>
      <c r="I137" s="108"/>
    </row>
    <row r="138" spans="2:9" ht="12.75">
      <c r="B138" s="107"/>
      <c r="C138" s="115">
        <v>135</v>
      </c>
      <c r="D138" s="118"/>
      <c r="E138" s="115"/>
      <c r="F138" s="118"/>
      <c r="G138" s="118"/>
      <c r="H138" s="118"/>
      <c r="I138" s="108"/>
    </row>
    <row r="139" spans="2:9" ht="12.75">
      <c r="B139" s="107"/>
      <c r="C139" s="115">
        <v>136</v>
      </c>
      <c r="D139" s="118"/>
      <c r="E139" s="115"/>
      <c r="F139" s="118"/>
      <c r="G139" s="118"/>
      <c r="H139" s="118"/>
      <c r="I139" s="108"/>
    </row>
    <row r="140" spans="2:9" ht="12.75">
      <c r="B140" s="107"/>
      <c r="C140" s="115">
        <v>137</v>
      </c>
      <c r="D140" s="118"/>
      <c r="E140" s="115"/>
      <c r="F140" s="118"/>
      <c r="G140" s="118"/>
      <c r="H140" s="118"/>
      <c r="I140" s="108"/>
    </row>
    <row r="141" spans="2:9" ht="12.75">
      <c r="B141" s="107"/>
      <c r="C141" s="115">
        <v>138</v>
      </c>
      <c r="D141" s="118"/>
      <c r="E141" s="115"/>
      <c r="F141" s="118"/>
      <c r="G141" s="118"/>
      <c r="H141" s="118"/>
      <c r="I141" s="108"/>
    </row>
    <row r="142" spans="2:9" ht="12.75">
      <c r="B142" s="107"/>
      <c r="C142" s="115">
        <v>139</v>
      </c>
      <c r="D142" s="118"/>
      <c r="E142" s="115"/>
      <c r="F142" s="118"/>
      <c r="G142" s="118"/>
      <c r="H142" s="118"/>
      <c r="I142" s="108"/>
    </row>
    <row r="143" spans="2:9" ht="12.75">
      <c r="B143" s="107"/>
      <c r="C143" s="115">
        <v>140</v>
      </c>
      <c r="D143" s="118"/>
      <c r="E143" s="115"/>
      <c r="F143" s="118"/>
      <c r="G143" s="118"/>
      <c r="H143" s="118"/>
      <c r="I143" s="108"/>
    </row>
    <row r="144" spans="2:9" ht="12.75">
      <c r="B144" s="107"/>
      <c r="C144" s="115">
        <v>141</v>
      </c>
      <c r="D144" s="118"/>
      <c r="E144" s="115"/>
      <c r="F144" s="118"/>
      <c r="G144" s="118"/>
      <c r="H144" s="118"/>
      <c r="I144" s="108"/>
    </row>
    <row r="145" spans="2:9" ht="12.75">
      <c r="B145" s="107"/>
      <c r="C145" s="115">
        <v>142</v>
      </c>
      <c r="D145" s="118"/>
      <c r="E145" s="115"/>
      <c r="F145" s="118"/>
      <c r="G145" s="118"/>
      <c r="H145" s="118"/>
      <c r="I145" s="108"/>
    </row>
    <row r="146" spans="2:9" ht="12.75">
      <c r="B146" s="107"/>
      <c r="C146" s="115">
        <v>143</v>
      </c>
      <c r="D146" s="118"/>
      <c r="E146" s="115"/>
      <c r="F146" s="118"/>
      <c r="G146" s="118"/>
      <c r="H146" s="118"/>
      <c r="I146" s="108"/>
    </row>
    <row r="147" spans="2:9" ht="12.75">
      <c r="B147" s="107"/>
      <c r="C147" s="115">
        <v>144</v>
      </c>
      <c r="D147" s="118"/>
      <c r="E147" s="115"/>
      <c r="F147" s="118"/>
      <c r="G147" s="118"/>
      <c r="H147" s="118"/>
      <c r="I147" s="108"/>
    </row>
    <row r="148" spans="2:9" ht="12.75">
      <c r="B148" s="107"/>
      <c r="C148" s="115">
        <v>145</v>
      </c>
      <c r="D148" s="118"/>
      <c r="E148" s="115"/>
      <c r="F148" s="118"/>
      <c r="G148" s="118"/>
      <c r="H148" s="118"/>
      <c r="I148" s="108"/>
    </row>
    <row r="149" spans="2:9" ht="12.75">
      <c r="B149" s="107"/>
      <c r="C149" s="115">
        <v>146</v>
      </c>
      <c r="D149" s="118"/>
      <c r="E149" s="115"/>
      <c r="F149" s="118"/>
      <c r="G149" s="118"/>
      <c r="H149" s="118"/>
      <c r="I149" s="108"/>
    </row>
    <row r="150" spans="2:9" ht="12.75">
      <c r="B150" s="107"/>
      <c r="C150" s="116">
        <v>147</v>
      </c>
      <c r="D150" s="119"/>
      <c r="E150" s="116"/>
      <c r="F150" s="119"/>
      <c r="G150" s="119"/>
      <c r="H150" s="119"/>
      <c r="I150" s="108"/>
    </row>
    <row r="151" spans="2:9" ht="12.75">
      <c r="B151" s="107"/>
      <c r="C151" s="113"/>
      <c r="D151" s="113"/>
      <c r="E151" s="113"/>
      <c r="F151" s="113"/>
      <c r="G151" s="113"/>
      <c r="H151" s="113"/>
      <c r="I151" s="108"/>
    </row>
    <row r="152" spans="2:9" ht="13.5" thickBot="1">
      <c r="B152" s="109"/>
      <c r="C152" s="110"/>
      <c r="D152" s="110"/>
      <c r="E152" s="110"/>
      <c r="F152" s="110"/>
      <c r="G152" s="110"/>
      <c r="H152" s="110"/>
      <c r="I152" s="111"/>
    </row>
  </sheetData>
  <sheetProtection/>
  <dataValidations count="1">
    <dataValidation type="list" allowBlank="1" showInputMessage="1" showErrorMessage="1" sqref="C3">
      <formula1>$C$4:$C$150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7"/>
  </sheetPr>
  <dimension ref="B1:DW375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2" width="2.75390625" style="1" customWidth="1"/>
    <col min="13" max="14" width="3.00390625" style="1" bestFit="1" customWidth="1"/>
    <col min="15" max="58" width="2.75390625" style="1" customWidth="1"/>
    <col min="59" max="59" width="2.75390625" style="125" customWidth="1"/>
    <col min="60" max="63" width="0" style="125" hidden="1" customWidth="1"/>
    <col min="64" max="67" width="2.75390625" style="120" hidden="1" customWidth="1"/>
    <col min="68" max="71" width="2.75390625" style="125" hidden="1" customWidth="1"/>
    <col min="72" max="114" width="2.75390625" style="125" customWidth="1"/>
    <col min="115" max="121" width="2.75390625" style="208" customWidth="1"/>
    <col min="122" max="124" width="2.75390625" style="125" customWidth="1"/>
    <col min="125" max="16384" width="2.75390625" style="1" customWidth="1"/>
  </cols>
  <sheetData>
    <row r="1" spans="2:127" ht="19.5" customHeight="1" thickBot="1">
      <c r="B1" s="322" t="s">
        <v>207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DK1" s="125"/>
      <c r="DL1" s="125"/>
      <c r="DM1" s="125"/>
      <c r="DN1" s="125"/>
      <c r="DO1" s="125"/>
      <c r="DP1" s="125"/>
      <c r="DQ1" s="125"/>
      <c r="DU1" s="2"/>
      <c r="DV1" s="2"/>
      <c r="DW1" s="2"/>
    </row>
    <row r="2" spans="2:121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1"/>
      <c r="DK2" s="187"/>
      <c r="DL2" s="188"/>
      <c r="DM2" s="188"/>
      <c r="DN2" s="188"/>
      <c r="DO2" s="189"/>
      <c r="DP2" s="187"/>
      <c r="DQ2" s="190"/>
    </row>
    <row r="3" spans="2:121" ht="10.5" customHeight="1">
      <c r="B3" s="12"/>
      <c r="C3" s="64"/>
      <c r="D3" s="64"/>
      <c r="E3" s="64"/>
      <c r="F3" s="64"/>
      <c r="G3" s="64"/>
      <c r="H3" s="64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6"/>
      <c r="AL3" s="66"/>
      <c r="AM3" s="66"/>
      <c r="AN3" s="66"/>
      <c r="AO3" s="65"/>
      <c r="AP3" s="323" t="s">
        <v>180</v>
      </c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14"/>
      <c r="DK3" s="191"/>
      <c r="DL3" s="192"/>
      <c r="DM3" s="191"/>
      <c r="DN3" s="191"/>
      <c r="DO3" s="193"/>
      <c r="DP3" s="191"/>
      <c r="DQ3" s="191"/>
    </row>
    <row r="4" spans="2:121" ht="10.5" customHeight="1">
      <c r="B4" s="12"/>
      <c r="C4" s="64"/>
      <c r="D4" s="64"/>
      <c r="E4" s="64"/>
      <c r="F4" s="64"/>
      <c r="G4" s="64"/>
      <c r="H4" s="64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  <c r="AL4" s="66"/>
      <c r="AM4" s="66"/>
      <c r="AN4" s="66"/>
      <c r="AO4" s="65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14"/>
      <c r="DK4" s="191"/>
      <c r="DL4" s="192"/>
      <c r="DM4" s="191"/>
      <c r="DN4" s="191"/>
      <c r="DO4" s="191"/>
      <c r="DP4" s="191"/>
      <c r="DQ4" s="191"/>
    </row>
    <row r="5" spans="2:121" ht="10.5" customHeight="1">
      <c r="B5" s="12"/>
      <c r="C5" s="64"/>
      <c r="D5" s="64"/>
      <c r="E5" s="64"/>
      <c r="F5" s="64"/>
      <c r="G5" s="64"/>
      <c r="H5" s="64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6"/>
      <c r="AL5" s="66"/>
      <c r="AM5" s="66"/>
      <c r="AN5" s="66"/>
      <c r="AO5" s="65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14"/>
      <c r="DK5" s="191"/>
      <c r="DL5" s="192"/>
      <c r="DM5" s="191"/>
      <c r="DN5" s="191"/>
      <c r="DO5" s="191"/>
      <c r="DP5" s="191"/>
      <c r="DQ5" s="191"/>
    </row>
    <row r="6" spans="2:121" ht="10.5" customHeight="1">
      <c r="B6" s="12"/>
      <c r="C6" s="64"/>
      <c r="D6" s="64"/>
      <c r="E6" s="64"/>
      <c r="F6" s="64"/>
      <c r="G6" s="64"/>
      <c r="H6" s="64"/>
      <c r="I6" s="65"/>
      <c r="J6" s="65"/>
      <c r="K6" s="65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5"/>
      <c r="AK6" s="66"/>
      <c r="AL6" s="66"/>
      <c r="AM6" s="66"/>
      <c r="AN6" s="66"/>
      <c r="AO6" s="65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14"/>
      <c r="DK6" s="191"/>
      <c r="DL6" s="192"/>
      <c r="DM6" s="191"/>
      <c r="DN6" s="191"/>
      <c r="DO6" s="191"/>
      <c r="DP6" s="192"/>
      <c r="DQ6" s="192"/>
    </row>
    <row r="7" spans="2:121" ht="10.5" customHeight="1">
      <c r="B7" s="12"/>
      <c r="C7" s="64"/>
      <c r="D7" s="64"/>
      <c r="E7" s="64"/>
      <c r="F7" s="64"/>
      <c r="G7" s="64"/>
      <c r="H7" s="64"/>
      <c r="I7" s="64"/>
      <c r="J7" s="64"/>
      <c r="K7" s="64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14"/>
      <c r="DK7" s="187"/>
      <c r="DL7" s="187"/>
      <c r="DM7" s="187"/>
      <c r="DN7" s="194"/>
      <c r="DO7" s="187"/>
      <c r="DP7" s="187"/>
      <c r="DQ7" s="187"/>
    </row>
    <row r="8" spans="2:121" ht="12" customHeight="1">
      <c r="B8" s="12"/>
      <c r="C8" s="64"/>
      <c r="D8" s="64"/>
      <c r="E8" s="64"/>
      <c r="F8" s="64"/>
      <c r="G8" s="64"/>
      <c r="H8" s="64"/>
      <c r="I8" s="64"/>
      <c r="J8" s="64"/>
      <c r="K8" s="64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14"/>
      <c r="DK8" s="195"/>
      <c r="DL8" s="187"/>
      <c r="DM8" s="187"/>
      <c r="DN8" s="194"/>
      <c r="DO8" s="187"/>
      <c r="DP8" s="196"/>
      <c r="DQ8" s="195"/>
    </row>
    <row r="9" spans="2:121" ht="12" customHeight="1">
      <c r="B9" s="1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8"/>
      <c r="AQ9" s="68"/>
      <c r="AR9" s="68"/>
      <c r="AS9" s="324" t="s">
        <v>179</v>
      </c>
      <c r="AT9" s="324"/>
      <c r="AU9" s="324"/>
      <c r="AV9" s="324"/>
      <c r="AW9" s="324"/>
      <c r="AX9" s="324"/>
      <c r="AY9" s="324"/>
      <c r="AZ9" s="324"/>
      <c r="BA9" s="324"/>
      <c r="BB9" s="324"/>
      <c r="BC9" s="14"/>
      <c r="BL9" s="121"/>
      <c r="BM9" s="121">
        <f>IF(BM10=1,0,2)</f>
        <v>0</v>
      </c>
      <c r="BN9" s="121"/>
      <c r="BO9" s="121"/>
      <c r="DK9" s="195"/>
      <c r="DL9" s="197"/>
      <c r="DM9" s="187"/>
      <c r="DN9" s="198"/>
      <c r="DO9" s="187"/>
      <c r="DP9" s="196"/>
      <c r="DQ9" s="195"/>
    </row>
    <row r="10" spans="2:121" ht="12" customHeight="1">
      <c r="B10" s="1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14"/>
      <c r="BL10" s="121"/>
      <c r="BM10" s="121">
        <v>1</v>
      </c>
      <c r="BN10" s="121"/>
      <c r="BO10" s="122" t="str">
        <f>VLOOKUP(BM10,BN11:BO14,2)</f>
        <v>руб.</v>
      </c>
      <c r="DK10" s="195"/>
      <c r="DL10" s="195"/>
      <c r="DM10" s="195"/>
      <c r="DN10" s="199"/>
      <c r="DO10" s="200"/>
      <c r="DP10" s="196"/>
      <c r="DQ10" s="195"/>
    </row>
    <row r="11" spans="2:121" ht="12" customHeight="1">
      <c r="B11" s="12"/>
      <c r="C11" s="73" t="s">
        <v>176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7"/>
      <c r="Z11" s="261" t="s">
        <v>4</v>
      </c>
      <c r="AA11" s="261"/>
      <c r="AB11" s="261"/>
      <c r="AC11" s="261"/>
      <c r="AD11" s="261"/>
      <c r="AE11" s="261"/>
      <c r="AF11" s="261"/>
      <c r="AG11" s="261"/>
      <c r="AH11" s="261" t="s">
        <v>5</v>
      </c>
      <c r="AI11" s="261"/>
      <c r="AJ11" s="261"/>
      <c r="AK11" s="261"/>
      <c r="AL11" s="261"/>
      <c r="AM11" s="261"/>
      <c r="AN11" s="261"/>
      <c r="AO11" s="261"/>
      <c r="AP11" s="261" t="s">
        <v>87</v>
      </c>
      <c r="AQ11" s="261"/>
      <c r="AR11" s="261"/>
      <c r="AS11" s="261"/>
      <c r="AT11" s="261"/>
      <c r="AU11" s="261"/>
      <c r="AV11" s="261"/>
      <c r="AW11" s="261"/>
      <c r="AX11" s="70"/>
      <c r="AY11" s="70"/>
      <c r="AZ11" s="70"/>
      <c r="BA11" s="70"/>
      <c r="BB11" s="70"/>
      <c r="BC11" s="14"/>
      <c r="BL11" s="121">
        <v>1</v>
      </c>
      <c r="BM11" s="121" t="s">
        <v>171</v>
      </c>
      <c r="BN11" s="123">
        <v>1</v>
      </c>
      <c r="BO11" s="123" t="s">
        <v>172</v>
      </c>
      <c r="DK11" s="195"/>
      <c r="DL11" s="195"/>
      <c r="DM11" s="195"/>
      <c r="DN11" s="199"/>
      <c r="DO11" s="200"/>
      <c r="DP11" s="195"/>
      <c r="DQ11" s="195"/>
    </row>
    <row r="12" spans="2:121" ht="12" customHeight="1">
      <c r="B12" s="12"/>
      <c r="C12" s="73" t="s">
        <v>177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7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70"/>
      <c r="AY12" s="70"/>
      <c r="AZ12" s="70"/>
      <c r="BA12" s="70"/>
      <c r="BB12" s="70"/>
      <c r="BC12" s="14"/>
      <c r="BL12" s="121">
        <v>2</v>
      </c>
      <c r="BM12" s="121" t="s">
        <v>173</v>
      </c>
      <c r="BN12" s="124">
        <v>2</v>
      </c>
      <c r="BO12" s="123" t="s">
        <v>172</v>
      </c>
      <c r="DK12" s="195"/>
      <c r="DL12" s="195"/>
      <c r="DM12" s="195"/>
      <c r="DN12" s="199"/>
      <c r="DO12" s="200"/>
      <c r="DP12" s="195"/>
      <c r="DQ12" s="195"/>
    </row>
    <row r="13" spans="2:121" ht="12" customHeight="1">
      <c r="B13" s="12"/>
      <c r="C13" s="127" t="s">
        <v>178</v>
      </c>
      <c r="D13" s="71"/>
      <c r="E13" s="126"/>
      <c r="F13" s="126"/>
      <c r="G13" s="126"/>
      <c r="H13" s="126"/>
      <c r="I13" s="126"/>
      <c r="J13" s="126"/>
      <c r="K13" s="64"/>
      <c r="L13" s="64"/>
      <c r="M13" s="64"/>
      <c r="N13" s="64"/>
      <c r="O13" s="64"/>
      <c r="P13" s="64"/>
      <c r="Q13" s="64"/>
      <c r="R13" s="67"/>
      <c r="S13" s="67"/>
      <c r="T13" s="67"/>
      <c r="U13" s="67"/>
      <c r="V13" s="67"/>
      <c r="W13" s="67"/>
      <c r="X13" s="264" t="s">
        <v>88</v>
      </c>
      <c r="Y13" s="265"/>
      <c r="Z13" s="262"/>
      <c r="AA13" s="262"/>
      <c r="AB13" s="262"/>
      <c r="AC13" s="262"/>
      <c r="AD13" s="262"/>
      <c r="AE13" s="262"/>
      <c r="AF13" s="262"/>
      <c r="AG13" s="262"/>
      <c r="AH13" s="262">
        <f>VLOOKUP(Контрагенты!C3,Контрагенты!C4:G150,3)</f>
        <v>190658987</v>
      </c>
      <c r="AI13" s="262"/>
      <c r="AJ13" s="262"/>
      <c r="AK13" s="262"/>
      <c r="AL13" s="262"/>
      <c r="AM13" s="262"/>
      <c r="AN13" s="262"/>
      <c r="AO13" s="262"/>
      <c r="AP13" s="263"/>
      <c r="AQ13" s="263"/>
      <c r="AR13" s="263"/>
      <c r="AS13" s="263"/>
      <c r="AT13" s="263"/>
      <c r="AU13" s="263"/>
      <c r="AV13" s="263"/>
      <c r="AW13" s="263"/>
      <c r="AX13" s="72"/>
      <c r="AY13" s="72"/>
      <c r="AZ13" s="72"/>
      <c r="BA13" s="72"/>
      <c r="BB13" s="72"/>
      <c r="BC13" s="14"/>
      <c r="BL13" s="121">
        <v>3</v>
      </c>
      <c r="BM13" s="121" t="s">
        <v>174</v>
      </c>
      <c r="BN13" s="124">
        <v>3</v>
      </c>
      <c r="BO13" s="123" t="s">
        <v>174</v>
      </c>
      <c r="DK13" s="201"/>
      <c r="DL13" s="195"/>
      <c r="DM13" s="195"/>
      <c r="DN13" s="199"/>
      <c r="DO13" s="200"/>
      <c r="DP13" s="195"/>
      <c r="DQ13" s="195"/>
    </row>
    <row r="14" spans="2:121" ht="12" customHeight="1">
      <c r="B14" s="12"/>
      <c r="C14" s="73" t="s">
        <v>89</v>
      </c>
      <c r="D14" s="73"/>
      <c r="E14" s="243"/>
      <c r="F14" s="243"/>
      <c r="G14" s="73" t="s">
        <v>149</v>
      </c>
      <c r="H14" s="243"/>
      <c r="I14" s="243"/>
      <c r="J14" s="243"/>
      <c r="K14" s="243"/>
      <c r="L14" s="243"/>
      <c r="M14" s="13"/>
      <c r="N14" s="13"/>
      <c r="O14" s="13"/>
      <c r="P14" s="13"/>
      <c r="Q14" s="13"/>
      <c r="R14" s="15"/>
      <c r="S14" s="15"/>
      <c r="T14" s="15"/>
      <c r="U14" s="15"/>
      <c r="V14" s="15"/>
      <c r="W14" s="73"/>
      <c r="X14" s="73"/>
      <c r="Y14" s="73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4"/>
      <c r="AY14" s="74"/>
      <c r="AZ14" s="74"/>
      <c r="BA14" s="74"/>
      <c r="BB14" s="74"/>
      <c r="BC14" s="14"/>
      <c r="BL14" s="121">
        <v>4</v>
      </c>
      <c r="BM14" s="121" t="s">
        <v>175</v>
      </c>
      <c r="BN14" s="124">
        <v>4</v>
      </c>
      <c r="BO14" s="123" t="s">
        <v>175</v>
      </c>
      <c r="DK14" s="201"/>
      <c r="DL14" s="195"/>
      <c r="DM14" s="195"/>
      <c r="DN14" s="195"/>
      <c r="DO14" s="202"/>
      <c r="DP14" s="195"/>
      <c r="DQ14" s="195"/>
    </row>
    <row r="15" spans="2:121" ht="12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5"/>
      <c r="V15" s="13"/>
      <c r="W15" s="75"/>
      <c r="X15" s="75"/>
      <c r="Y15" s="75"/>
      <c r="Z15" s="75"/>
      <c r="AA15" s="75"/>
      <c r="AB15" s="75"/>
      <c r="AC15" s="75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B15" s="75"/>
      <c r="BC15" s="14"/>
      <c r="DK15" s="203"/>
      <c r="DL15" s="199"/>
      <c r="DM15" s="195"/>
      <c r="DN15" s="195"/>
      <c r="DO15" s="195"/>
      <c r="DP15" s="195"/>
      <c r="DQ15" s="195"/>
    </row>
    <row r="16" spans="2:121" ht="12" customHeight="1">
      <c r="B16" s="12"/>
      <c r="C16" s="328" t="s">
        <v>90</v>
      </c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14"/>
      <c r="DK16" s="203"/>
      <c r="DL16" s="199"/>
      <c r="DM16" s="195"/>
      <c r="DN16" s="195"/>
      <c r="DO16" s="195"/>
      <c r="DP16" s="195"/>
      <c r="DQ16" s="195"/>
    </row>
    <row r="17" spans="2:121" ht="12" customHeight="1">
      <c r="B17" s="12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4"/>
      <c r="BC17" s="14"/>
      <c r="DK17" s="203"/>
      <c r="DL17" s="199"/>
      <c r="DM17" s="195"/>
      <c r="DN17" s="195"/>
      <c r="DO17" s="200"/>
      <c r="DP17" s="195"/>
      <c r="DQ17" s="195"/>
    </row>
    <row r="18" spans="2:121" ht="12" customHeight="1">
      <c r="B18" s="12"/>
      <c r="C18" s="16" t="s">
        <v>91</v>
      </c>
      <c r="D18" s="326"/>
      <c r="E18" s="326"/>
      <c r="F18" s="17" t="s">
        <v>91</v>
      </c>
      <c r="G18" s="327"/>
      <c r="H18" s="327"/>
      <c r="I18" s="327"/>
      <c r="J18" s="327"/>
      <c r="K18" s="327"/>
      <c r="L18" s="327"/>
      <c r="M18" s="18">
        <v>20</v>
      </c>
      <c r="N18" s="19"/>
      <c r="O18" s="20" t="s">
        <v>92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4"/>
      <c r="DK18" s="203"/>
      <c r="DL18" s="199"/>
      <c r="DM18" s="195"/>
      <c r="DN18" s="195"/>
      <c r="DO18" s="200"/>
      <c r="DP18" s="195"/>
      <c r="DQ18" s="195"/>
    </row>
    <row r="19" spans="2:121" ht="7.5" customHeight="1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4"/>
      <c r="DK19" s="203"/>
      <c r="DL19" s="199"/>
      <c r="DM19" s="195"/>
      <c r="DN19" s="195"/>
      <c r="DO19" s="200"/>
      <c r="DP19" s="195"/>
      <c r="DQ19" s="195"/>
    </row>
    <row r="20" spans="2:121" ht="7.5" customHeight="1"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3"/>
      <c r="AH20" s="13"/>
      <c r="AI20" s="13"/>
      <c r="AJ20" s="13"/>
      <c r="AK20" s="13"/>
      <c r="AL20" s="15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2"/>
      <c r="AZ20" s="22"/>
      <c r="BA20" s="22"/>
      <c r="BB20" s="22"/>
      <c r="BC20" s="14"/>
      <c r="DK20" s="203"/>
      <c r="DL20" s="199"/>
      <c r="DM20" s="195"/>
      <c r="DN20" s="195"/>
      <c r="DO20" s="200"/>
      <c r="DP20" s="195"/>
      <c r="DQ20" s="195"/>
    </row>
    <row r="21" spans="2:121" ht="12" customHeight="1">
      <c r="B21" s="12"/>
      <c r="C21" s="269" t="s">
        <v>2</v>
      </c>
      <c r="D21" s="269"/>
      <c r="E21" s="269"/>
      <c r="F21" s="269"/>
      <c r="G21" s="282" t="s">
        <v>150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325" t="s">
        <v>9</v>
      </c>
      <c r="V21" s="325"/>
      <c r="W21" s="325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325" t="s">
        <v>3</v>
      </c>
      <c r="AL21" s="325"/>
      <c r="AM21" s="325"/>
      <c r="AN21" s="325"/>
      <c r="AO21" s="325"/>
      <c r="AP21" s="325"/>
      <c r="AQ21" s="282">
        <v>248635</v>
      </c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14"/>
      <c r="DK21" s="203"/>
      <c r="DL21" s="199"/>
      <c r="DM21" s="195"/>
      <c r="DN21" s="195"/>
      <c r="DO21" s="200"/>
      <c r="DP21" s="195"/>
      <c r="DQ21" s="195"/>
    </row>
    <row r="22" spans="2:121" ht="9.75" customHeight="1">
      <c r="B22" s="12"/>
      <c r="C22" s="13"/>
      <c r="D22" s="13"/>
      <c r="E22" s="13"/>
      <c r="F22" s="13"/>
      <c r="G22" s="279" t="s">
        <v>93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4"/>
      <c r="V22" s="24"/>
      <c r="W22" s="24"/>
      <c r="X22" s="321" t="s">
        <v>93</v>
      </c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13"/>
      <c r="AL22" s="15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/>
      <c r="AZ22" s="22"/>
      <c r="BA22" s="22"/>
      <c r="BB22" s="22"/>
      <c r="BC22" s="14"/>
      <c r="DK22" s="203"/>
      <c r="DL22" s="199"/>
      <c r="DM22" s="195"/>
      <c r="DN22" s="195"/>
      <c r="DO22" s="200"/>
      <c r="DP22" s="195"/>
      <c r="DQ22" s="195"/>
    </row>
    <row r="23" spans="2:121" ht="12" customHeight="1">
      <c r="B23" s="12"/>
      <c r="C23" s="23" t="s">
        <v>181</v>
      </c>
      <c r="D23" s="23"/>
      <c r="E23" s="23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14"/>
      <c r="DK23" s="203"/>
      <c r="DL23" s="199"/>
      <c r="DM23" s="195"/>
      <c r="DN23" s="199"/>
      <c r="DO23" s="195"/>
      <c r="DP23" s="195"/>
      <c r="DQ23" s="195"/>
    </row>
    <row r="24" spans="2:121" ht="9.75" customHeight="1">
      <c r="B24" s="12"/>
      <c r="C24" s="25"/>
      <c r="D24" s="25"/>
      <c r="E24" s="25"/>
      <c r="F24" s="256" t="s">
        <v>182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14"/>
      <c r="DK24" s="203"/>
      <c r="DL24" s="199"/>
      <c r="DM24" s="195"/>
      <c r="DN24" s="195"/>
      <c r="DO24" s="195"/>
      <c r="DP24" s="195"/>
      <c r="DQ24" s="195"/>
    </row>
    <row r="25" spans="2:121" ht="12" customHeight="1">
      <c r="B25" s="12"/>
      <c r="C25" s="387" t="s">
        <v>183</v>
      </c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14"/>
      <c r="DK25" s="203"/>
      <c r="DL25" s="199"/>
      <c r="DM25" s="195"/>
      <c r="DN25" s="195"/>
      <c r="DO25" s="200"/>
      <c r="DP25" s="195"/>
      <c r="DQ25" s="187"/>
    </row>
    <row r="26" spans="2:121" ht="9.75" customHeight="1">
      <c r="B26" s="12"/>
      <c r="C26" s="15"/>
      <c r="D26" s="15"/>
      <c r="E26" s="15"/>
      <c r="F26" s="26"/>
      <c r="G26" s="26"/>
      <c r="H26" s="26"/>
      <c r="I26" s="279" t="s">
        <v>94</v>
      </c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14"/>
      <c r="DK26" s="203"/>
      <c r="DL26" s="199"/>
      <c r="DM26" s="195"/>
      <c r="DN26" s="195"/>
      <c r="DO26" s="200"/>
      <c r="DP26" s="195"/>
      <c r="DQ26" s="195"/>
    </row>
    <row r="27" spans="2:121" ht="12" customHeight="1">
      <c r="B27" s="12"/>
      <c r="C27" s="318" t="s">
        <v>4</v>
      </c>
      <c r="D27" s="318"/>
      <c r="E27" s="318"/>
      <c r="F27" s="318"/>
      <c r="G27" s="318"/>
      <c r="H27" s="318"/>
      <c r="I27" s="385" t="s">
        <v>151</v>
      </c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5"/>
      <c r="BB27" s="385"/>
      <c r="BC27" s="14"/>
      <c r="DK27" s="203"/>
      <c r="DL27" s="199"/>
      <c r="DM27" s="195"/>
      <c r="DN27" s="195"/>
      <c r="DO27" s="195"/>
      <c r="DP27" s="195"/>
      <c r="DQ27" s="195"/>
    </row>
    <row r="28" spans="2:121" ht="9.75" customHeight="1">
      <c r="B28" s="12"/>
      <c r="C28" s="28"/>
      <c r="D28" s="28"/>
      <c r="E28" s="28"/>
      <c r="F28" s="27"/>
      <c r="G28" s="27"/>
      <c r="H28" s="27"/>
      <c r="I28" s="279" t="s">
        <v>94</v>
      </c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14"/>
      <c r="DK28" s="203"/>
      <c r="DL28" s="199"/>
      <c r="DM28" s="195"/>
      <c r="DN28" s="195"/>
      <c r="DO28" s="195"/>
      <c r="DP28" s="195"/>
      <c r="DQ28" s="195"/>
    </row>
    <row r="29" spans="2:121" ht="12" customHeight="1">
      <c r="B29" s="12"/>
      <c r="C29" s="318" t="s">
        <v>5</v>
      </c>
      <c r="D29" s="318"/>
      <c r="E29" s="318"/>
      <c r="F29" s="318"/>
      <c r="G29" s="318"/>
      <c r="H29" s="318"/>
      <c r="I29" s="320" t="str">
        <f>CONCATENATE(VLOOKUP(Контрагенты!C3,Контрагенты!C4:H150,2),", ",VLOOKUP(Контрагенты!C3,Контрагенты!C4:H150,4))</f>
        <v>ООО "Ренал-2004", г. Минск, ул. Долгобродская, д. 28, комн. 242</v>
      </c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14"/>
      <c r="DK29" s="203"/>
      <c r="DL29" s="199"/>
      <c r="DM29" s="195"/>
      <c r="DN29" s="195"/>
      <c r="DO29" s="200"/>
      <c r="DP29" s="195"/>
      <c r="DQ29" s="195"/>
    </row>
    <row r="30" spans="2:121" ht="9.75" customHeight="1">
      <c r="B30" s="12"/>
      <c r="C30" s="23"/>
      <c r="D30" s="23"/>
      <c r="E30" s="23"/>
      <c r="F30" s="23"/>
      <c r="G30" s="23"/>
      <c r="H30" s="23"/>
      <c r="I30" s="279" t="s">
        <v>94</v>
      </c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14"/>
      <c r="DK30" s="203"/>
      <c r="DL30" s="199"/>
      <c r="DM30" s="195"/>
      <c r="DN30" s="195"/>
      <c r="DO30" s="200"/>
      <c r="DP30" s="195"/>
      <c r="DQ30" s="195"/>
    </row>
    <row r="31" spans="2:121" ht="12" customHeight="1">
      <c r="B31" s="12"/>
      <c r="C31" s="317" t="s">
        <v>95</v>
      </c>
      <c r="D31" s="317"/>
      <c r="E31" s="317"/>
      <c r="F31" s="317"/>
      <c r="G31" s="317"/>
      <c r="H31" s="317"/>
      <c r="I31" s="282" t="str">
        <f>IF(VLOOKUP(Контрагенты!C3,Контрагенты!C4:H150,6)=0,"",VLOOKUP(Контрагенты!C3,Контрагенты!C4:H150,6))</f>
        <v>22.08.2012 № 184</v>
      </c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1" t="s">
        <v>6</v>
      </c>
      <c r="X31" s="281"/>
      <c r="Y31" s="281"/>
      <c r="Z31" s="281"/>
      <c r="AA31" s="281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1" t="s">
        <v>96</v>
      </c>
      <c r="AN31" s="281"/>
      <c r="AO31" s="281"/>
      <c r="AP31" s="281"/>
      <c r="AQ31" s="281"/>
      <c r="AR31" s="280" t="str">
        <f>IF(VLOOKUP(Контрагенты!C3,Контрагенты!C4:H150,5)=0,VLOOKUP(Контрагенты!C3,Контрагенты!C4:H150,4),VLOOKUP(Контрагенты!C3,Контрагенты!C4:H150,5))</f>
        <v>г. Минск, ул. Советская, 5</v>
      </c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14"/>
      <c r="DK31" s="203"/>
      <c r="DL31" s="199"/>
      <c r="DM31" s="195"/>
      <c r="DN31" s="195"/>
      <c r="DO31" s="200"/>
      <c r="DP31" s="195"/>
      <c r="DQ31" s="195"/>
    </row>
    <row r="32" spans="2:121" ht="9.75" customHeight="1">
      <c r="B32" s="12"/>
      <c r="C32" s="23"/>
      <c r="D32" s="23"/>
      <c r="E32" s="23"/>
      <c r="F32" s="23"/>
      <c r="G32" s="23"/>
      <c r="H32" s="23"/>
      <c r="I32" s="256" t="s">
        <v>184</v>
      </c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13"/>
      <c r="X32" s="13"/>
      <c r="Y32" s="13"/>
      <c r="Z32" s="13"/>
      <c r="AA32" s="13"/>
      <c r="AB32" s="279" t="s">
        <v>7</v>
      </c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4"/>
      <c r="AN32" s="24"/>
      <c r="AO32" s="24"/>
      <c r="AP32" s="24"/>
      <c r="AQ32" s="24"/>
      <c r="AR32" s="279" t="s">
        <v>7</v>
      </c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14"/>
      <c r="DK32" s="203"/>
      <c r="DL32" s="199"/>
      <c r="DM32" s="195"/>
      <c r="DN32" s="195"/>
      <c r="DO32" s="195"/>
      <c r="DP32" s="195"/>
      <c r="DQ32" s="195"/>
    </row>
    <row r="33" spans="2:121" ht="12" customHeight="1">
      <c r="B33" s="12"/>
      <c r="C33" s="269" t="s">
        <v>8</v>
      </c>
      <c r="D33" s="269"/>
      <c r="E33" s="269"/>
      <c r="F33" s="269"/>
      <c r="G33" s="269"/>
      <c r="H33" s="269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14"/>
      <c r="DK33" s="203"/>
      <c r="DL33" s="204"/>
      <c r="DM33" s="195"/>
      <c r="DN33" s="195"/>
      <c r="DO33" s="200"/>
      <c r="DP33" s="195"/>
      <c r="DQ33" s="199"/>
    </row>
    <row r="34" spans="2:121" ht="9.75" customHeight="1">
      <c r="B34" s="12"/>
      <c r="C34" s="13"/>
      <c r="D34" s="13"/>
      <c r="E34" s="13"/>
      <c r="F34" s="13"/>
      <c r="G34" s="13"/>
      <c r="H34" s="13"/>
      <c r="I34" s="279" t="s">
        <v>185</v>
      </c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14"/>
      <c r="DK34" s="203"/>
      <c r="DL34" s="199"/>
      <c r="DM34" s="195"/>
      <c r="DN34" s="195"/>
      <c r="DO34" s="200"/>
      <c r="DP34" s="195"/>
      <c r="DQ34" s="199"/>
    </row>
    <row r="35" spans="2:121" ht="9.75" customHeight="1">
      <c r="B35" s="12"/>
      <c r="C35" s="13"/>
      <c r="D35" s="13"/>
      <c r="E35" s="13"/>
      <c r="F35" s="13"/>
      <c r="G35" s="13"/>
      <c r="H35" s="1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3"/>
      <c r="X35" s="13"/>
      <c r="Y35" s="13"/>
      <c r="Z35" s="13"/>
      <c r="AA35" s="1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4"/>
      <c r="DK35" s="201"/>
      <c r="DL35" s="204"/>
      <c r="DM35" s="199"/>
      <c r="DN35" s="195"/>
      <c r="DO35" s="200"/>
      <c r="DP35" s="195"/>
      <c r="DQ35" s="199"/>
    </row>
    <row r="36" spans="2:121" ht="12" customHeight="1">
      <c r="B36" s="12"/>
      <c r="C36" s="253" t="s">
        <v>97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14"/>
      <c r="DK36" s="205"/>
      <c r="DL36" s="195"/>
      <c r="DM36" s="199"/>
      <c r="DN36" s="195"/>
      <c r="DO36" s="200"/>
      <c r="DP36" s="195"/>
      <c r="DQ36" s="195"/>
    </row>
    <row r="37" spans="2:124" s="3" customFormat="1" ht="12" customHeight="1">
      <c r="B37" s="29"/>
      <c r="C37" s="319" t="s">
        <v>99</v>
      </c>
      <c r="D37" s="319"/>
      <c r="E37" s="319"/>
      <c r="F37" s="319"/>
      <c r="G37" s="319"/>
      <c r="H37" s="319"/>
      <c r="I37" s="319"/>
      <c r="J37" s="319"/>
      <c r="K37" s="319"/>
      <c r="L37" s="319"/>
      <c r="M37" s="319" t="s">
        <v>132</v>
      </c>
      <c r="N37" s="319"/>
      <c r="O37" s="319"/>
      <c r="P37" s="344" t="s">
        <v>98</v>
      </c>
      <c r="Q37" s="344"/>
      <c r="R37" s="344"/>
      <c r="S37" s="319" t="s">
        <v>186</v>
      </c>
      <c r="T37" s="319"/>
      <c r="U37" s="319"/>
      <c r="V37" s="319"/>
      <c r="W37" s="319" t="s">
        <v>187</v>
      </c>
      <c r="X37" s="319"/>
      <c r="Y37" s="319"/>
      <c r="Z37" s="319"/>
      <c r="AA37" s="319"/>
      <c r="AB37" s="319" t="s">
        <v>10</v>
      </c>
      <c r="AC37" s="319"/>
      <c r="AD37" s="319"/>
      <c r="AE37" s="319"/>
      <c r="AF37" s="319"/>
      <c r="AG37" s="319" t="s">
        <v>188</v>
      </c>
      <c r="AH37" s="319"/>
      <c r="AI37" s="319"/>
      <c r="AJ37" s="319"/>
      <c r="AK37" s="319"/>
      <c r="AL37" s="319" t="s">
        <v>189</v>
      </c>
      <c r="AM37" s="319"/>
      <c r="AN37" s="319"/>
      <c r="AO37" s="319"/>
      <c r="AP37" s="319"/>
      <c r="AQ37" s="319" t="s">
        <v>100</v>
      </c>
      <c r="AR37" s="319"/>
      <c r="AS37" s="319"/>
      <c r="AT37" s="319"/>
      <c r="AU37" s="319" t="s">
        <v>101</v>
      </c>
      <c r="AV37" s="319"/>
      <c r="AW37" s="319"/>
      <c r="AX37" s="319"/>
      <c r="AY37" s="319" t="s">
        <v>102</v>
      </c>
      <c r="AZ37" s="319"/>
      <c r="BA37" s="319"/>
      <c r="BB37" s="319"/>
      <c r="BC37" s="14"/>
      <c r="BG37" s="181"/>
      <c r="BH37" s="181"/>
      <c r="BI37" s="181"/>
      <c r="BJ37" s="181"/>
      <c r="BK37" s="181"/>
      <c r="BL37" s="120"/>
      <c r="BM37" s="120"/>
      <c r="BN37" s="120"/>
      <c r="BO37" s="120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25"/>
      <c r="DI37" s="125"/>
      <c r="DJ37" s="125"/>
      <c r="DK37" s="195"/>
      <c r="DL37" s="195"/>
      <c r="DM37" s="199"/>
      <c r="DN37" s="195"/>
      <c r="DO37" s="200"/>
      <c r="DP37" s="195"/>
      <c r="DQ37" s="195"/>
      <c r="DR37" s="125"/>
      <c r="DS37" s="125"/>
      <c r="DT37" s="125"/>
    </row>
    <row r="38" spans="2:124" s="3" customFormat="1" ht="12" customHeight="1">
      <c r="B38" s="2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44"/>
      <c r="Q38" s="344"/>
      <c r="R38" s="344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14"/>
      <c r="BG38" s="181"/>
      <c r="BH38" s="181"/>
      <c r="BI38" s="181"/>
      <c r="BJ38" s="181"/>
      <c r="BK38" s="181"/>
      <c r="BL38" s="120"/>
      <c r="BM38" s="120"/>
      <c r="BN38" s="120"/>
      <c r="BO38" s="120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25"/>
      <c r="DI38" s="125"/>
      <c r="DJ38" s="125"/>
      <c r="DK38" s="195"/>
      <c r="DL38" s="195"/>
      <c r="DM38" s="195"/>
      <c r="DN38" s="195"/>
      <c r="DO38" s="195"/>
      <c r="DP38" s="195"/>
      <c r="DQ38" s="195"/>
      <c r="DR38" s="125"/>
      <c r="DS38" s="125"/>
      <c r="DT38" s="125"/>
    </row>
    <row r="39" spans="2:124" s="3" customFormat="1" ht="9.75" customHeight="1">
      <c r="B39" s="29"/>
      <c r="C39" s="329">
        <v>1</v>
      </c>
      <c r="D39" s="329"/>
      <c r="E39" s="329"/>
      <c r="F39" s="329"/>
      <c r="G39" s="329"/>
      <c r="H39" s="329"/>
      <c r="I39" s="329"/>
      <c r="J39" s="329"/>
      <c r="K39" s="329"/>
      <c r="L39" s="329"/>
      <c r="M39" s="329">
        <v>2</v>
      </c>
      <c r="N39" s="329"/>
      <c r="O39" s="329"/>
      <c r="P39" s="343">
        <v>3</v>
      </c>
      <c r="Q39" s="343"/>
      <c r="R39" s="343"/>
      <c r="S39" s="329">
        <v>4</v>
      </c>
      <c r="T39" s="329"/>
      <c r="U39" s="329"/>
      <c r="V39" s="329"/>
      <c r="W39" s="329">
        <v>5</v>
      </c>
      <c r="X39" s="329"/>
      <c r="Y39" s="329"/>
      <c r="Z39" s="329"/>
      <c r="AA39" s="329"/>
      <c r="AB39" s="329">
        <v>6</v>
      </c>
      <c r="AC39" s="329"/>
      <c r="AD39" s="329"/>
      <c r="AE39" s="329"/>
      <c r="AF39" s="329"/>
      <c r="AG39" s="329">
        <v>7</v>
      </c>
      <c r="AH39" s="329"/>
      <c r="AI39" s="329"/>
      <c r="AJ39" s="329"/>
      <c r="AK39" s="329"/>
      <c r="AL39" s="329">
        <v>8</v>
      </c>
      <c r="AM39" s="329"/>
      <c r="AN39" s="329"/>
      <c r="AO39" s="329"/>
      <c r="AP39" s="329"/>
      <c r="AQ39" s="329">
        <v>9</v>
      </c>
      <c r="AR39" s="329"/>
      <c r="AS39" s="329"/>
      <c r="AT39" s="329"/>
      <c r="AU39" s="329">
        <v>10</v>
      </c>
      <c r="AV39" s="329"/>
      <c r="AW39" s="329"/>
      <c r="AX39" s="329"/>
      <c r="AY39" s="329">
        <v>11</v>
      </c>
      <c r="AZ39" s="329"/>
      <c r="BA39" s="329"/>
      <c r="BB39" s="329"/>
      <c r="BC39" s="14"/>
      <c r="BG39" s="181"/>
      <c r="BH39" s="181"/>
      <c r="BI39" s="181"/>
      <c r="BJ39" s="181"/>
      <c r="BK39" s="181"/>
      <c r="BL39" s="120"/>
      <c r="BM39" s="120"/>
      <c r="BN39" s="120"/>
      <c r="BO39" s="120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25"/>
      <c r="DI39" s="125"/>
      <c r="DJ39" s="125"/>
      <c r="DK39" s="195"/>
      <c r="DL39" s="195"/>
      <c r="DM39" s="195"/>
      <c r="DN39" s="195"/>
      <c r="DO39" s="195"/>
      <c r="DP39" s="195"/>
      <c r="DQ39" s="195"/>
      <c r="DR39" s="125"/>
      <c r="DS39" s="125"/>
      <c r="DT39" s="125"/>
    </row>
    <row r="40" spans="2:124" s="3" customFormat="1" ht="12" customHeight="1">
      <c r="B40" s="29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287" t="s">
        <v>160</v>
      </c>
      <c r="N40" s="287"/>
      <c r="O40" s="287"/>
      <c r="P40" s="287">
        <v>155</v>
      </c>
      <c r="Q40" s="287"/>
      <c r="R40" s="287"/>
      <c r="S40" s="336">
        <v>1248.24</v>
      </c>
      <c r="T40" s="336"/>
      <c r="U40" s="336"/>
      <c r="V40" s="336"/>
      <c r="W40" s="335">
        <f aca="true" t="shared" si="0" ref="W40:W45">P40*S40</f>
        <v>193477.2</v>
      </c>
      <c r="X40" s="335"/>
      <c r="Y40" s="335"/>
      <c r="Z40" s="335"/>
      <c r="AA40" s="335"/>
      <c r="AB40" s="338">
        <v>0.2</v>
      </c>
      <c r="AC40" s="338"/>
      <c r="AD40" s="338"/>
      <c r="AE40" s="338"/>
      <c r="AF40" s="338"/>
      <c r="AG40" s="292">
        <f aca="true" t="shared" si="1" ref="AG40:AG45">IF(AB40="Без НДС",0,ROUND(W40*AB40,2))</f>
        <v>38695.44</v>
      </c>
      <c r="AH40" s="292"/>
      <c r="AI40" s="292"/>
      <c r="AJ40" s="292"/>
      <c r="AK40" s="292"/>
      <c r="AL40" s="335">
        <f aca="true" t="shared" si="2" ref="AL40:AL45">W40+AG40</f>
        <v>232172.64</v>
      </c>
      <c r="AM40" s="335"/>
      <c r="AN40" s="335"/>
      <c r="AO40" s="335"/>
      <c r="AP40" s="335"/>
      <c r="AQ40" s="287">
        <v>22</v>
      </c>
      <c r="AR40" s="287"/>
      <c r="AS40" s="287"/>
      <c r="AT40" s="287"/>
      <c r="AU40" s="288">
        <v>864</v>
      </c>
      <c r="AV40" s="288"/>
      <c r="AW40" s="288"/>
      <c r="AX40" s="288"/>
      <c r="AY40" s="287"/>
      <c r="AZ40" s="287"/>
      <c r="BA40" s="287"/>
      <c r="BB40" s="287"/>
      <c r="BC40" s="14"/>
      <c r="BG40" s="181"/>
      <c r="BH40" s="181"/>
      <c r="BI40" s="181"/>
      <c r="BJ40" s="181"/>
      <c r="BK40" s="181"/>
      <c r="BL40" s="120"/>
      <c r="BM40" s="120"/>
      <c r="BN40" s="120"/>
      <c r="BO40" s="120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95"/>
      <c r="DL40" s="195"/>
      <c r="DM40" s="195"/>
      <c r="DN40" s="195"/>
      <c r="DO40" s="195"/>
      <c r="DP40" s="195"/>
      <c r="DQ40" s="195"/>
      <c r="DR40" s="181"/>
      <c r="DS40" s="181"/>
      <c r="DT40" s="181"/>
    </row>
    <row r="41" spans="2:124" s="3" customFormat="1" ht="12" customHeight="1">
      <c r="B41" s="29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86" t="s">
        <v>160</v>
      </c>
      <c r="N41" s="286"/>
      <c r="O41" s="286"/>
      <c r="P41" s="286"/>
      <c r="Q41" s="286"/>
      <c r="R41" s="286"/>
      <c r="S41" s="293"/>
      <c r="T41" s="293"/>
      <c r="U41" s="293"/>
      <c r="V41" s="293"/>
      <c r="W41" s="330">
        <f t="shared" si="0"/>
        <v>0</v>
      </c>
      <c r="X41" s="330"/>
      <c r="Y41" s="330"/>
      <c r="Z41" s="330"/>
      <c r="AA41" s="330"/>
      <c r="AB41" s="337">
        <v>0.2</v>
      </c>
      <c r="AC41" s="337"/>
      <c r="AD41" s="337"/>
      <c r="AE41" s="337"/>
      <c r="AF41" s="337"/>
      <c r="AG41" s="330">
        <f t="shared" si="1"/>
        <v>0</v>
      </c>
      <c r="AH41" s="330"/>
      <c r="AI41" s="330"/>
      <c r="AJ41" s="330"/>
      <c r="AK41" s="330"/>
      <c r="AL41" s="330">
        <f t="shared" si="2"/>
        <v>0</v>
      </c>
      <c r="AM41" s="330"/>
      <c r="AN41" s="330"/>
      <c r="AO41" s="330"/>
      <c r="AP41" s="330"/>
      <c r="AQ41" s="286"/>
      <c r="AR41" s="286"/>
      <c r="AS41" s="286"/>
      <c r="AT41" s="286"/>
      <c r="AU41" s="331"/>
      <c r="AV41" s="331"/>
      <c r="AW41" s="331"/>
      <c r="AX41" s="331"/>
      <c r="AY41" s="286"/>
      <c r="AZ41" s="286"/>
      <c r="BA41" s="286"/>
      <c r="BB41" s="286"/>
      <c r="BC41" s="14"/>
      <c r="BG41" s="181"/>
      <c r="BH41" s="181"/>
      <c r="BI41" s="181"/>
      <c r="BJ41" s="181"/>
      <c r="BK41" s="181"/>
      <c r="BL41" s="120"/>
      <c r="BM41" s="120"/>
      <c r="BN41" s="120"/>
      <c r="BO41" s="120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95"/>
      <c r="DL41" s="195"/>
      <c r="DM41" s="195"/>
      <c r="DN41" s="195"/>
      <c r="DO41" s="195"/>
      <c r="DP41" s="195"/>
      <c r="DQ41" s="195"/>
      <c r="DR41" s="181"/>
      <c r="DS41" s="181"/>
      <c r="DT41" s="181"/>
    </row>
    <row r="42" spans="2:124" s="3" customFormat="1" ht="12" customHeight="1">
      <c r="B42" s="29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86" t="s">
        <v>160</v>
      </c>
      <c r="N42" s="286"/>
      <c r="O42" s="286"/>
      <c r="P42" s="286"/>
      <c r="Q42" s="286"/>
      <c r="R42" s="286"/>
      <c r="S42" s="293"/>
      <c r="T42" s="293"/>
      <c r="U42" s="293"/>
      <c r="V42" s="293"/>
      <c r="W42" s="330">
        <f t="shared" si="0"/>
        <v>0</v>
      </c>
      <c r="X42" s="330"/>
      <c r="Y42" s="330"/>
      <c r="Z42" s="330"/>
      <c r="AA42" s="330"/>
      <c r="AB42" s="337"/>
      <c r="AC42" s="337"/>
      <c r="AD42" s="337"/>
      <c r="AE42" s="337"/>
      <c r="AF42" s="337"/>
      <c r="AG42" s="330">
        <f t="shared" si="1"/>
        <v>0</v>
      </c>
      <c r="AH42" s="330"/>
      <c r="AI42" s="330"/>
      <c r="AJ42" s="330"/>
      <c r="AK42" s="330"/>
      <c r="AL42" s="330">
        <f t="shared" si="2"/>
        <v>0</v>
      </c>
      <c r="AM42" s="330"/>
      <c r="AN42" s="330"/>
      <c r="AO42" s="330"/>
      <c r="AP42" s="330"/>
      <c r="AQ42" s="286"/>
      <c r="AR42" s="286"/>
      <c r="AS42" s="286"/>
      <c r="AT42" s="286"/>
      <c r="AU42" s="331"/>
      <c r="AV42" s="331"/>
      <c r="AW42" s="331"/>
      <c r="AX42" s="331"/>
      <c r="AY42" s="286"/>
      <c r="AZ42" s="286"/>
      <c r="BA42" s="286"/>
      <c r="BB42" s="286"/>
      <c r="BC42" s="14"/>
      <c r="BG42" s="181"/>
      <c r="BH42" s="181"/>
      <c r="BI42" s="181"/>
      <c r="BJ42" s="181"/>
      <c r="BK42" s="181"/>
      <c r="BL42" s="120"/>
      <c r="BM42" s="120"/>
      <c r="BN42" s="120"/>
      <c r="BO42" s="120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95"/>
      <c r="DL42" s="195"/>
      <c r="DM42" s="195"/>
      <c r="DN42" s="195"/>
      <c r="DO42" s="195"/>
      <c r="DP42" s="195"/>
      <c r="DQ42" s="195"/>
      <c r="DR42" s="181"/>
      <c r="DS42" s="181"/>
      <c r="DT42" s="181"/>
    </row>
    <row r="43" spans="2:124" s="3" customFormat="1" ht="12" customHeight="1">
      <c r="B43" s="29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86"/>
      <c r="N43" s="286"/>
      <c r="O43" s="286"/>
      <c r="P43" s="286"/>
      <c r="Q43" s="286"/>
      <c r="R43" s="286"/>
      <c r="S43" s="293"/>
      <c r="T43" s="293"/>
      <c r="U43" s="293"/>
      <c r="V43" s="293"/>
      <c r="W43" s="330">
        <f t="shared" si="0"/>
        <v>0</v>
      </c>
      <c r="X43" s="330"/>
      <c r="Y43" s="330"/>
      <c r="Z43" s="330"/>
      <c r="AA43" s="330"/>
      <c r="AB43" s="337"/>
      <c r="AC43" s="337"/>
      <c r="AD43" s="337"/>
      <c r="AE43" s="337"/>
      <c r="AF43" s="337"/>
      <c r="AG43" s="330">
        <f t="shared" si="1"/>
        <v>0</v>
      </c>
      <c r="AH43" s="330"/>
      <c r="AI43" s="330"/>
      <c r="AJ43" s="330"/>
      <c r="AK43" s="330"/>
      <c r="AL43" s="330">
        <f t="shared" si="2"/>
        <v>0</v>
      </c>
      <c r="AM43" s="330"/>
      <c r="AN43" s="330"/>
      <c r="AO43" s="330"/>
      <c r="AP43" s="330"/>
      <c r="AQ43" s="286"/>
      <c r="AR43" s="286"/>
      <c r="AS43" s="286"/>
      <c r="AT43" s="286"/>
      <c r="AU43" s="331"/>
      <c r="AV43" s="331"/>
      <c r="AW43" s="331"/>
      <c r="AX43" s="331"/>
      <c r="AY43" s="286"/>
      <c r="AZ43" s="286"/>
      <c r="BA43" s="286"/>
      <c r="BB43" s="286"/>
      <c r="BC43" s="14"/>
      <c r="BG43" s="181"/>
      <c r="BH43" s="181"/>
      <c r="BI43" s="181"/>
      <c r="BJ43" s="181"/>
      <c r="BK43" s="181"/>
      <c r="BL43" s="120"/>
      <c r="BM43" s="120"/>
      <c r="BN43" s="120"/>
      <c r="BO43" s="120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95"/>
      <c r="DL43" s="195"/>
      <c r="DM43" s="195"/>
      <c r="DN43" s="195"/>
      <c r="DO43" s="195"/>
      <c r="DP43" s="195"/>
      <c r="DQ43" s="195"/>
      <c r="DR43" s="181"/>
      <c r="DS43" s="181"/>
      <c r="DT43" s="181"/>
    </row>
    <row r="44" spans="2:124" s="3" customFormat="1" ht="12" customHeight="1">
      <c r="B44" s="29"/>
      <c r="C44" s="339"/>
      <c r="D44" s="340"/>
      <c r="E44" s="340"/>
      <c r="F44" s="340"/>
      <c r="G44" s="340"/>
      <c r="H44" s="340"/>
      <c r="I44" s="340"/>
      <c r="J44" s="340"/>
      <c r="K44" s="340"/>
      <c r="L44" s="341"/>
      <c r="M44" s="286"/>
      <c r="N44" s="286"/>
      <c r="O44" s="286"/>
      <c r="P44" s="289"/>
      <c r="Q44" s="290"/>
      <c r="R44" s="291"/>
      <c r="S44" s="347"/>
      <c r="T44" s="348"/>
      <c r="U44" s="348"/>
      <c r="V44" s="349"/>
      <c r="W44" s="330">
        <f t="shared" si="0"/>
        <v>0</v>
      </c>
      <c r="X44" s="330"/>
      <c r="Y44" s="330"/>
      <c r="Z44" s="330"/>
      <c r="AA44" s="330"/>
      <c r="AB44" s="337"/>
      <c r="AC44" s="337"/>
      <c r="AD44" s="337"/>
      <c r="AE44" s="337"/>
      <c r="AF44" s="337"/>
      <c r="AG44" s="330">
        <f t="shared" si="1"/>
        <v>0</v>
      </c>
      <c r="AH44" s="330"/>
      <c r="AI44" s="330"/>
      <c r="AJ44" s="330"/>
      <c r="AK44" s="330"/>
      <c r="AL44" s="330">
        <f t="shared" si="2"/>
        <v>0</v>
      </c>
      <c r="AM44" s="330"/>
      <c r="AN44" s="330"/>
      <c r="AO44" s="330"/>
      <c r="AP44" s="330"/>
      <c r="AQ44" s="289"/>
      <c r="AR44" s="290"/>
      <c r="AS44" s="290"/>
      <c r="AT44" s="291"/>
      <c r="AU44" s="332"/>
      <c r="AV44" s="333"/>
      <c r="AW44" s="333"/>
      <c r="AX44" s="334"/>
      <c r="AY44" s="289"/>
      <c r="AZ44" s="290"/>
      <c r="BA44" s="290"/>
      <c r="BB44" s="291"/>
      <c r="BC44" s="14"/>
      <c r="BG44" s="181"/>
      <c r="BH44" s="181"/>
      <c r="BI44" s="181"/>
      <c r="BJ44" s="181"/>
      <c r="BK44" s="181"/>
      <c r="BL44" s="120"/>
      <c r="BM44" s="120"/>
      <c r="BN44" s="120"/>
      <c r="BO44" s="120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95"/>
      <c r="DL44" s="195"/>
      <c r="DM44" s="195"/>
      <c r="DN44" s="195"/>
      <c r="DO44" s="195"/>
      <c r="DP44" s="195"/>
      <c r="DQ44" s="195"/>
      <c r="DR44" s="181"/>
      <c r="DS44" s="181"/>
      <c r="DT44" s="181"/>
    </row>
    <row r="45" spans="2:124" s="3" customFormat="1" ht="12" customHeight="1">
      <c r="B45" s="29"/>
      <c r="C45" s="351"/>
      <c r="D45" s="352"/>
      <c r="E45" s="352"/>
      <c r="F45" s="352"/>
      <c r="G45" s="352"/>
      <c r="H45" s="352"/>
      <c r="I45" s="352"/>
      <c r="J45" s="352"/>
      <c r="K45" s="352"/>
      <c r="L45" s="353"/>
      <c r="M45" s="354"/>
      <c r="N45" s="354"/>
      <c r="O45" s="354"/>
      <c r="P45" s="355"/>
      <c r="Q45" s="356"/>
      <c r="R45" s="357"/>
      <c r="S45" s="361"/>
      <c r="T45" s="362"/>
      <c r="U45" s="362"/>
      <c r="V45" s="363"/>
      <c r="W45" s="330">
        <f t="shared" si="0"/>
        <v>0</v>
      </c>
      <c r="X45" s="330"/>
      <c r="Y45" s="330"/>
      <c r="Z45" s="330"/>
      <c r="AA45" s="330"/>
      <c r="AB45" s="350"/>
      <c r="AC45" s="350"/>
      <c r="AD45" s="350"/>
      <c r="AE45" s="350"/>
      <c r="AF45" s="350"/>
      <c r="AG45" s="346">
        <f t="shared" si="1"/>
        <v>0</v>
      </c>
      <c r="AH45" s="346"/>
      <c r="AI45" s="346"/>
      <c r="AJ45" s="346"/>
      <c r="AK45" s="346"/>
      <c r="AL45" s="346">
        <f t="shared" si="2"/>
        <v>0</v>
      </c>
      <c r="AM45" s="346"/>
      <c r="AN45" s="346"/>
      <c r="AO45" s="346"/>
      <c r="AP45" s="346"/>
      <c r="AQ45" s="355"/>
      <c r="AR45" s="356"/>
      <c r="AS45" s="356"/>
      <c r="AT45" s="357"/>
      <c r="AU45" s="367"/>
      <c r="AV45" s="368"/>
      <c r="AW45" s="368"/>
      <c r="AX45" s="369"/>
      <c r="AY45" s="355"/>
      <c r="AZ45" s="356"/>
      <c r="BA45" s="356"/>
      <c r="BB45" s="357"/>
      <c r="BC45" s="14"/>
      <c r="BG45" s="181"/>
      <c r="BH45" s="181"/>
      <c r="BI45" s="181"/>
      <c r="BJ45" s="181"/>
      <c r="BK45" s="181"/>
      <c r="BL45" s="120"/>
      <c r="BM45" s="120"/>
      <c r="BN45" s="120"/>
      <c r="BO45" s="120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95"/>
      <c r="DL45" s="195"/>
      <c r="DM45" s="195"/>
      <c r="DN45" s="195"/>
      <c r="DO45" s="195"/>
      <c r="DP45" s="195"/>
      <c r="DQ45" s="195"/>
      <c r="DR45" s="181"/>
      <c r="DS45" s="181"/>
      <c r="DT45" s="181"/>
    </row>
    <row r="46" spans="2:124" s="3" customFormat="1" ht="12" customHeight="1">
      <c r="B46" s="29"/>
      <c r="C46" s="372" t="s">
        <v>0</v>
      </c>
      <c r="D46" s="373"/>
      <c r="E46" s="373"/>
      <c r="F46" s="373"/>
      <c r="G46" s="373"/>
      <c r="H46" s="373"/>
      <c r="I46" s="373"/>
      <c r="J46" s="373"/>
      <c r="K46" s="373"/>
      <c r="L46" s="374"/>
      <c r="M46" s="359" t="s">
        <v>130</v>
      </c>
      <c r="N46" s="359"/>
      <c r="O46" s="359"/>
      <c r="P46" s="359">
        <f>SUM(P40:R45)</f>
        <v>155</v>
      </c>
      <c r="Q46" s="359"/>
      <c r="R46" s="359"/>
      <c r="S46" s="364" t="s">
        <v>130</v>
      </c>
      <c r="T46" s="364"/>
      <c r="U46" s="364"/>
      <c r="V46" s="364"/>
      <c r="W46" s="345">
        <f>SUM(W40:AA45)</f>
        <v>193477.2</v>
      </c>
      <c r="X46" s="345"/>
      <c r="Y46" s="345"/>
      <c r="Z46" s="345"/>
      <c r="AA46" s="345"/>
      <c r="AB46" s="359" t="s">
        <v>130</v>
      </c>
      <c r="AC46" s="359"/>
      <c r="AD46" s="359"/>
      <c r="AE46" s="359"/>
      <c r="AF46" s="359"/>
      <c r="AG46" s="345">
        <f>SUM(AG40:AK45)</f>
        <v>38695.44</v>
      </c>
      <c r="AH46" s="345"/>
      <c r="AI46" s="345"/>
      <c r="AJ46" s="345"/>
      <c r="AK46" s="345"/>
      <c r="AL46" s="345">
        <f>SUM(AL40:AP45)</f>
        <v>232172.64</v>
      </c>
      <c r="AM46" s="345"/>
      <c r="AN46" s="345"/>
      <c r="AO46" s="345"/>
      <c r="AP46" s="345"/>
      <c r="AQ46" s="359">
        <f>SUM(AQ40:AT45)</f>
        <v>22</v>
      </c>
      <c r="AR46" s="359"/>
      <c r="AS46" s="359"/>
      <c r="AT46" s="359"/>
      <c r="AU46" s="370">
        <f>SUM(AU40:AX45)</f>
        <v>864</v>
      </c>
      <c r="AV46" s="370"/>
      <c r="AW46" s="370"/>
      <c r="AX46" s="370"/>
      <c r="AY46" s="359" t="s">
        <v>190</v>
      </c>
      <c r="AZ46" s="359"/>
      <c r="BA46" s="359"/>
      <c r="BB46" s="359"/>
      <c r="BC46" s="14"/>
      <c r="BG46" s="181"/>
      <c r="BH46" s="181"/>
      <c r="BI46" s="181"/>
      <c r="BJ46" s="181"/>
      <c r="BK46" s="181"/>
      <c r="BL46" s="120"/>
      <c r="BM46" s="120"/>
      <c r="BN46" s="120"/>
      <c r="BO46" s="120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95"/>
      <c r="DL46" s="195"/>
      <c r="DM46" s="195"/>
      <c r="DN46" s="195"/>
      <c r="DO46" s="195"/>
      <c r="DP46" s="195"/>
      <c r="DQ46" s="195"/>
      <c r="DR46" s="181"/>
      <c r="DS46" s="181"/>
      <c r="DT46" s="181"/>
    </row>
    <row r="47" spans="2:124" s="3" customFormat="1" ht="12" customHeight="1">
      <c r="B47" s="2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32"/>
      <c r="R47" s="32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14"/>
      <c r="BG47" s="181"/>
      <c r="BH47" s="181"/>
      <c r="BI47" s="181"/>
      <c r="BJ47" s="181"/>
      <c r="BK47" s="181"/>
      <c r="BL47" s="120"/>
      <c r="BM47" s="120"/>
      <c r="BN47" s="120"/>
      <c r="BO47" s="120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206"/>
      <c r="DL47" s="195"/>
      <c r="DM47" s="195"/>
      <c r="DN47" s="195"/>
      <c r="DO47" s="195"/>
      <c r="DP47" s="195"/>
      <c r="DQ47" s="195"/>
      <c r="DR47" s="181"/>
      <c r="DS47" s="181"/>
      <c r="DT47" s="181"/>
    </row>
    <row r="48" spans="2:124" s="3" customFormat="1" ht="12" customHeight="1">
      <c r="B48" s="29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2"/>
      <c r="R48" s="32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130"/>
      <c r="AM48" s="130"/>
      <c r="AN48" s="130"/>
      <c r="AO48" s="130"/>
      <c r="AP48" s="130"/>
      <c r="AQ48" s="130"/>
      <c r="AR48" s="130"/>
      <c r="AS48" s="130"/>
      <c r="AT48" s="129"/>
      <c r="AU48" s="129"/>
      <c r="AV48" s="129"/>
      <c r="AW48" s="129"/>
      <c r="AX48" s="129"/>
      <c r="AY48" s="129"/>
      <c r="AZ48" s="129"/>
      <c r="BA48" s="129"/>
      <c r="BB48" s="129"/>
      <c r="BC48" s="14"/>
      <c r="BG48" s="181"/>
      <c r="BH48" s="181"/>
      <c r="BI48" s="181"/>
      <c r="BJ48" s="181"/>
      <c r="BK48" s="181"/>
      <c r="BL48" s="120"/>
      <c r="BM48" s="120"/>
      <c r="BN48" s="120"/>
      <c r="BO48" s="120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95"/>
      <c r="DL48" s="195"/>
      <c r="DM48" s="195"/>
      <c r="DN48" s="195"/>
      <c r="DO48" s="195"/>
      <c r="DP48" s="195"/>
      <c r="DQ48" s="195"/>
      <c r="DR48" s="181"/>
      <c r="DS48" s="181"/>
      <c r="DT48" s="181"/>
    </row>
    <row r="49" spans="2:127" ht="12" customHeight="1">
      <c r="B49" s="12"/>
      <c r="C49" s="360" t="s">
        <v>103</v>
      </c>
      <c r="D49" s="360"/>
      <c r="E49" s="360"/>
      <c r="F49" s="360"/>
      <c r="G49" s="360"/>
      <c r="H49" s="259" t="str">
        <f>Лист3!B2</f>
        <v>Тридцать восемь тысяч шестьсот девяносто пять  </v>
      </c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133" t="s">
        <v>191</v>
      </c>
      <c r="AU49" s="133"/>
      <c r="AV49" s="258">
        <f>IF(AS142="","00",IF(AS142&lt;10,AT142&amp;AS142,AS142))</f>
        <v>44</v>
      </c>
      <c r="AW49" s="258"/>
      <c r="AX49" s="133" t="s">
        <v>131</v>
      </c>
      <c r="AY49" s="133"/>
      <c r="AZ49" s="128"/>
      <c r="BA49" s="128"/>
      <c r="BB49" s="128"/>
      <c r="BC49" s="14"/>
      <c r="DH49" s="181"/>
      <c r="DI49" s="181"/>
      <c r="DJ49" s="181"/>
      <c r="DK49" s="195"/>
      <c r="DL49" s="195"/>
      <c r="DM49" s="195"/>
      <c r="DN49" s="195"/>
      <c r="DO49" s="195"/>
      <c r="DP49" s="195"/>
      <c r="DQ49" s="195"/>
      <c r="DR49" s="181"/>
      <c r="DS49" s="181"/>
      <c r="DT49" s="181"/>
      <c r="DU49" s="7"/>
      <c r="DV49" s="5"/>
      <c r="DW49" s="5"/>
    </row>
    <row r="50" spans="2:127" ht="12" customHeight="1">
      <c r="B50" s="12"/>
      <c r="C50" s="13"/>
      <c r="D50" s="13"/>
      <c r="E50" s="13"/>
      <c r="F50" s="13"/>
      <c r="G50" s="13"/>
      <c r="H50" s="260" t="s">
        <v>1</v>
      </c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131"/>
      <c r="AU50" s="285" t="s">
        <v>192</v>
      </c>
      <c r="AV50" s="260"/>
      <c r="AW50" s="260"/>
      <c r="AX50" s="285"/>
      <c r="AY50" s="131"/>
      <c r="AZ50" s="131"/>
      <c r="BA50" s="131"/>
      <c r="BB50" s="131"/>
      <c r="BC50" s="14"/>
      <c r="DH50" s="181"/>
      <c r="DI50" s="181"/>
      <c r="DJ50" s="181"/>
      <c r="DK50" s="187"/>
      <c r="DL50" s="188"/>
      <c r="DM50" s="188"/>
      <c r="DN50" s="188"/>
      <c r="DO50" s="189"/>
      <c r="DP50" s="187"/>
      <c r="DQ50" s="190"/>
      <c r="DR50" s="181"/>
      <c r="DS50" s="181"/>
      <c r="DT50" s="181"/>
      <c r="DU50" s="5"/>
      <c r="DV50" s="5"/>
      <c r="DW50" s="5"/>
    </row>
    <row r="51" spans="2:127" ht="12" customHeight="1">
      <c r="B51" s="12"/>
      <c r="C51" s="360" t="s">
        <v>104</v>
      </c>
      <c r="D51" s="360"/>
      <c r="E51" s="360"/>
      <c r="F51" s="360"/>
      <c r="G51" s="360"/>
      <c r="H51" s="360"/>
      <c r="I51" s="360"/>
      <c r="J51" s="257" t="str">
        <f>Лист3!L2</f>
        <v>Двести тридцать две тысячи сто семьдесят два  </v>
      </c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133" t="s">
        <v>191</v>
      </c>
      <c r="AU51" s="133"/>
      <c r="AV51" s="258">
        <f>IF(AS189="","00",IF(AS189&lt;10,AT189&amp;AS189,AS189))</f>
        <v>64</v>
      </c>
      <c r="AW51" s="258"/>
      <c r="AX51" s="133" t="s">
        <v>131</v>
      </c>
      <c r="AY51" s="133"/>
      <c r="AZ51" s="133"/>
      <c r="BA51" s="133"/>
      <c r="BB51" s="133"/>
      <c r="BC51" s="14"/>
      <c r="DH51" s="181"/>
      <c r="DI51" s="181"/>
      <c r="DJ51" s="181"/>
      <c r="DK51" s="191"/>
      <c r="DL51" s="192"/>
      <c r="DM51" s="191"/>
      <c r="DN51" s="191"/>
      <c r="DO51" s="193"/>
      <c r="DP51" s="191"/>
      <c r="DQ51" s="191"/>
      <c r="DR51" s="181"/>
      <c r="DS51" s="181"/>
      <c r="DT51" s="181"/>
      <c r="DU51" s="5"/>
      <c r="DV51" s="6"/>
      <c r="DW51" s="6"/>
    </row>
    <row r="52" spans="2:127" ht="12" customHeight="1">
      <c r="B52" s="12"/>
      <c r="C52" s="33"/>
      <c r="D52" s="13"/>
      <c r="E52" s="13"/>
      <c r="F52" s="13"/>
      <c r="G52" s="13"/>
      <c r="H52" s="13"/>
      <c r="I52" s="13"/>
      <c r="J52" s="260" t="s">
        <v>1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131"/>
      <c r="AU52" s="285" t="s">
        <v>192</v>
      </c>
      <c r="AV52" s="260"/>
      <c r="AW52" s="260"/>
      <c r="AX52" s="285"/>
      <c r="AY52" s="131"/>
      <c r="AZ52" s="131"/>
      <c r="BA52" s="131"/>
      <c r="BB52" s="131"/>
      <c r="BC52" s="14"/>
      <c r="DH52" s="181"/>
      <c r="DI52" s="181"/>
      <c r="DJ52" s="181"/>
      <c r="DK52" s="191"/>
      <c r="DL52" s="192"/>
      <c r="DM52" s="191"/>
      <c r="DN52" s="191"/>
      <c r="DO52" s="191"/>
      <c r="DP52" s="191"/>
      <c r="DQ52" s="191"/>
      <c r="DR52" s="181"/>
      <c r="DS52" s="181"/>
      <c r="DT52" s="181"/>
      <c r="DU52" s="8"/>
      <c r="DV52" s="8"/>
      <c r="DW52" s="8"/>
    </row>
    <row r="53" spans="2:124" ht="12" customHeight="1">
      <c r="B53" s="12"/>
      <c r="C53" s="318" t="s">
        <v>105</v>
      </c>
      <c r="D53" s="318"/>
      <c r="E53" s="318"/>
      <c r="F53" s="318"/>
      <c r="G53" s="318"/>
      <c r="H53" s="318"/>
      <c r="I53" s="280" t="str">
        <f>DL293</f>
        <v>Восемьсот шестьдесят четыре </v>
      </c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325" t="s">
        <v>106</v>
      </c>
      <c r="AB53" s="325"/>
      <c r="AC53" s="325"/>
      <c r="AD53" s="325"/>
      <c r="AE53" s="325"/>
      <c r="AF53" s="325"/>
      <c r="AG53" s="325"/>
      <c r="AH53" s="325"/>
      <c r="AI53" s="325"/>
      <c r="AJ53" s="325"/>
      <c r="AK53" s="358" t="str">
        <f>DL335</f>
        <v>Двадцать две шт.</v>
      </c>
      <c r="AL53" s="358"/>
      <c r="AM53" s="358"/>
      <c r="AN53" s="358"/>
      <c r="AO53" s="358"/>
      <c r="AP53" s="358"/>
      <c r="AQ53" s="358"/>
      <c r="AR53" s="358"/>
      <c r="AS53" s="358"/>
      <c r="AT53" s="358"/>
      <c r="AU53" s="358"/>
      <c r="AV53" s="358"/>
      <c r="AW53" s="358"/>
      <c r="AX53" s="358"/>
      <c r="AY53" s="358"/>
      <c r="AZ53" s="358"/>
      <c r="BA53" s="358"/>
      <c r="BB53" s="358"/>
      <c r="BC53" s="14"/>
      <c r="DK53" s="191"/>
      <c r="DL53" s="192"/>
      <c r="DM53" s="191"/>
      <c r="DN53" s="191"/>
      <c r="DO53" s="191"/>
      <c r="DP53" s="191"/>
      <c r="DQ53" s="191"/>
      <c r="DR53" s="191"/>
      <c r="DS53" s="192"/>
      <c r="DT53" s="207"/>
    </row>
    <row r="54" spans="2:124" ht="12" customHeight="1">
      <c r="B54" s="12"/>
      <c r="C54" s="34"/>
      <c r="D54" s="34"/>
      <c r="E54" s="34"/>
      <c r="F54" s="13"/>
      <c r="G54" s="13"/>
      <c r="H54" s="13"/>
      <c r="I54" s="260" t="s">
        <v>1</v>
      </c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35"/>
      <c r="AB54" s="35"/>
      <c r="AC54" s="35"/>
      <c r="AD54" s="35"/>
      <c r="AE54" s="13"/>
      <c r="AF54" s="13"/>
      <c r="AG54" s="13"/>
      <c r="AH54" s="24"/>
      <c r="AI54" s="24"/>
      <c r="AJ54" s="24"/>
      <c r="AK54" s="371" t="s">
        <v>1</v>
      </c>
      <c r="AL54" s="371"/>
      <c r="AM54" s="371"/>
      <c r="AN54" s="371"/>
      <c r="AO54" s="371"/>
      <c r="AP54" s="371"/>
      <c r="AQ54" s="371"/>
      <c r="AR54" s="371"/>
      <c r="AS54" s="371"/>
      <c r="AT54" s="371"/>
      <c r="AU54" s="371"/>
      <c r="AV54" s="371"/>
      <c r="AW54" s="371"/>
      <c r="AX54" s="371"/>
      <c r="AY54" s="371"/>
      <c r="AZ54" s="371"/>
      <c r="BA54" s="371"/>
      <c r="BB54" s="371"/>
      <c r="BC54" s="14"/>
      <c r="DK54" s="191"/>
      <c r="DL54" s="192"/>
      <c r="DM54" s="191"/>
      <c r="DN54" s="191"/>
      <c r="DO54" s="191"/>
      <c r="DP54" s="192"/>
      <c r="DQ54" s="192"/>
      <c r="DR54" s="191"/>
      <c r="DS54" s="192"/>
      <c r="DT54" s="207"/>
    </row>
    <row r="55" spans="2:124" ht="12" customHeight="1">
      <c r="B55" s="12"/>
      <c r="C55" s="366" t="s">
        <v>107</v>
      </c>
      <c r="D55" s="366"/>
      <c r="E55" s="366"/>
      <c r="F55" s="366"/>
      <c r="G55" s="36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316" t="s">
        <v>111</v>
      </c>
      <c r="AC55" s="315"/>
      <c r="AD55" s="315"/>
      <c r="AE55" s="315"/>
      <c r="AF55" s="315"/>
      <c r="AG55" s="315"/>
      <c r="AH55" s="315"/>
      <c r="AI55" s="315"/>
      <c r="AJ55" s="358"/>
      <c r="AK55" s="358"/>
      <c r="AL55" s="358"/>
      <c r="AM55" s="358"/>
      <c r="AN55" s="358"/>
      <c r="AO55" s="358"/>
      <c r="AP55" s="358"/>
      <c r="AQ55" s="358"/>
      <c r="AR55" s="358"/>
      <c r="AS55" s="358"/>
      <c r="AT55" s="358"/>
      <c r="AU55" s="358"/>
      <c r="AV55" s="358"/>
      <c r="AW55" s="358"/>
      <c r="AX55" s="358"/>
      <c r="AY55" s="358"/>
      <c r="AZ55" s="358"/>
      <c r="BA55" s="358"/>
      <c r="BB55" s="358"/>
      <c r="BC55" s="14"/>
      <c r="DK55" s="187"/>
      <c r="DL55" s="187"/>
      <c r="DM55" s="187"/>
      <c r="DN55" s="194"/>
      <c r="DO55" s="187"/>
      <c r="DP55" s="187"/>
      <c r="DQ55" s="187"/>
      <c r="DR55" s="191"/>
      <c r="DS55" s="192"/>
      <c r="DT55" s="207"/>
    </row>
    <row r="56" spans="2:124" ht="12" customHeight="1">
      <c r="B56" s="12"/>
      <c r="C56" s="38"/>
      <c r="D56" s="38"/>
      <c r="E56" s="38"/>
      <c r="F56" s="39"/>
      <c r="G56" s="39"/>
      <c r="H56" s="365" t="s">
        <v>109</v>
      </c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297"/>
      <c r="AB56" s="40"/>
      <c r="AC56" s="13"/>
      <c r="AD56" s="13"/>
      <c r="AE56" s="13"/>
      <c r="AF56" s="13"/>
      <c r="AG56" s="13"/>
      <c r="AH56" s="13"/>
      <c r="AI56" s="13"/>
      <c r="AJ56" s="297" t="s">
        <v>109</v>
      </c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14"/>
      <c r="DK56" s="195"/>
      <c r="DL56" s="187"/>
      <c r="DM56" s="187"/>
      <c r="DN56" s="194"/>
      <c r="DO56" s="187"/>
      <c r="DP56" s="196"/>
      <c r="DQ56" s="195"/>
      <c r="DR56" s="187"/>
      <c r="DS56" s="187"/>
      <c r="DT56" s="178"/>
    </row>
    <row r="57" spans="2:121" ht="12" customHeight="1">
      <c r="B57" s="12"/>
      <c r="C57" s="308" t="s">
        <v>108</v>
      </c>
      <c r="D57" s="308"/>
      <c r="E57" s="308"/>
      <c r="F57" s="308"/>
      <c r="G57" s="308"/>
      <c r="H57" s="308"/>
      <c r="I57" s="308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312" t="s">
        <v>110</v>
      </c>
      <c r="V57" s="312"/>
      <c r="W57" s="312"/>
      <c r="X57" s="312"/>
      <c r="Y57" s="313"/>
      <c r="Z57" s="313"/>
      <c r="AA57" s="313"/>
      <c r="AB57" s="316" t="s">
        <v>112</v>
      </c>
      <c r="AC57" s="315"/>
      <c r="AD57" s="315"/>
      <c r="AE57" s="315"/>
      <c r="AF57" s="315"/>
      <c r="AG57" s="311"/>
      <c r="AH57" s="311"/>
      <c r="AI57" s="311"/>
      <c r="AJ57" s="311"/>
      <c r="AK57" s="311"/>
      <c r="AL57" s="311"/>
      <c r="AM57" s="311"/>
      <c r="AN57" s="311"/>
      <c r="AO57" s="311"/>
      <c r="AP57" s="315" t="s">
        <v>11</v>
      </c>
      <c r="AQ57" s="315"/>
      <c r="AR57" s="315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14"/>
      <c r="DK57" s="195"/>
      <c r="DL57" s="197"/>
      <c r="DM57" s="187"/>
      <c r="DN57" s="198"/>
      <c r="DO57" s="187"/>
      <c r="DP57" s="196"/>
      <c r="DQ57" s="195"/>
    </row>
    <row r="58" spans="2:121" ht="12" customHeight="1">
      <c r="B58" s="12"/>
      <c r="C58" s="36"/>
      <c r="D58" s="41"/>
      <c r="E58" s="41"/>
      <c r="F58" s="41"/>
      <c r="G58" s="41"/>
      <c r="H58" s="41"/>
      <c r="I58" s="15"/>
      <c r="J58" s="310" t="s">
        <v>109</v>
      </c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42"/>
      <c r="V58" s="42"/>
      <c r="W58" s="42"/>
      <c r="X58" s="42"/>
      <c r="Y58" s="43"/>
      <c r="Z58" s="43"/>
      <c r="AA58" s="43"/>
      <c r="AB58" s="44"/>
      <c r="AC58" s="45"/>
      <c r="AD58" s="45"/>
      <c r="AE58" s="45"/>
      <c r="AF58" s="45"/>
      <c r="AG58" s="314" t="s">
        <v>113</v>
      </c>
      <c r="AH58" s="314"/>
      <c r="AI58" s="314"/>
      <c r="AJ58" s="314"/>
      <c r="AK58" s="314"/>
      <c r="AL58" s="314"/>
      <c r="AM58" s="314"/>
      <c r="AN58" s="314"/>
      <c r="AO58" s="314"/>
      <c r="AP58" s="45"/>
      <c r="AQ58" s="45"/>
      <c r="AR58" s="45"/>
      <c r="AS58" s="314" t="s">
        <v>114</v>
      </c>
      <c r="AT58" s="314"/>
      <c r="AU58" s="314"/>
      <c r="AV58" s="314"/>
      <c r="AW58" s="314"/>
      <c r="AX58" s="314"/>
      <c r="AY58" s="314"/>
      <c r="AZ58" s="314"/>
      <c r="BA58" s="314"/>
      <c r="BB58" s="314"/>
      <c r="BC58" s="14"/>
      <c r="DK58" s="195"/>
      <c r="DL58" s="195"/>
      <c r="DM58" s="195"/>
      <c r="DN58" s="199"/>
      <c r="DO58" s="200"/>
      <c r="DP58" s="196"/>
      <c r="DQ58" s="195"/>
    </row>
    <row r="59" spans="2:121" ht="12" customHeight="1">
      <c r="B59" s="12"/>
      <c r="C59" s="36"/>
      <c r="D59" s="41"/>
      <c r="E59" s="41"/>
      <c r="F59" s="41"/>
      <c r="G59" s="41"/>
      <c r="H59" s="41"/>
      <c r="I59" s="41"/>
      <c r="J59" s="41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5"/>
      <c r="AA59" s="45"/>
      <c r="AB59" s="301" t="s">
        <v>115</v>
      </c>
      <c r="AC59" s="302"/>
      <c r="AD59" s="302"/>
      <c r="AE59" s="302"/>
      <c r="AF59" s="302"/>
      <c r="AG59" s="302"/>
      <c r="AH59" s="302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312" t="s">
        <v>110</v>
      </c>
      <c r="AV59" s="312"/>
      <c r="AW59" s="312"/>
      <c r="AX59" s="312"/>
      <c r="AY59" s="313"/>
      <c r="AZ59" s="313"/>
      <c r="BA59" s="313"/>
      <c r="BB59" s="313"/>
      <c r="BC59" s="14"/>
      <c r="DK59" s="195"/>
      <c r="DL59" s="195"/>
      <c r="DM59" s="195"/>
      <c r="DN59" s="199"/>
      <c r="DO59" s="200"/>
      <c r="DP59" s="195"/>
      <c r="DQ59" s="195"/>
    </row>
    <row r="60" spans="2:121" ht="12" customHeight="1">
      <c r="B60" s="12"/>
      <c r="C60" s="36"/>
      <c r="D60" s="41"/>
      <c r="E60" s="41"/>
      <c r="F60" s="41"/>
      <c r="G60" s="41"/>
      <c r="H60" s="41"/>
      <c r="I60" s="41"/>
      <c r="J60" s="41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5"/>
      <c r="AA60" s="45"/>
      <c r="AB60" s="37"/>
      <c r="AC60" s="41"/>
      <c r="AD60" s="41"/>
      <c r="AE60" s="41"/>
      <c r="AF60" s="41"/>
      <c r="AG60" s="41"/>
      <c r="AH60" s="13"/>
      <c r="AI60" s="297" t="s">
        <v>109</v>
      </c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42"/>
      <c r="AV60" s="42"/>
      <c r="AW60" s="42"/>
      <c r="AX60" s="13"/>
      <c r="AY60" s="13"/>
      <c r="AZ60" s="13"/>
      <c r="BA60" s="46"/>
      <c r="BB60" s="46"/>
      <c r="BC60" s="14"/>
      <c r="DK60" s="201"/>
      <c r="DL60" s="195"/>
      <c r="DM60" s="195"/>
      <c r="DN60" s="199"/>
      <c r="DO60" s="200"/>
      <c r="DP60" s="195"/>
      <c r="DQ60" s="195"/>
    </row>
    <row r="61" spans="2:121" ht="12" customHeight="1">
      <c r="B61" s="12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8"/>
      <c r="AA61" s="48"/>
      <c r="AB61" s="217"/>
      <c r="AC61" s="218"/>
      <c r="AD61" s="218"/>
      <c r="AE61" s="218"/>
      <c r="AF61" s="218"/>
      <c r="AG61" s="218"/>
      <c r="AH61" s="218"/>
      <c r="AI61" s="218"/>
      <c r="AJ61" s="218"/>
      <c r="AK61" s="218"/>
      <c r="AL61" s="48"/>
      <c r="AM61" s="48"/>
      <c r="AN61" s="48"/>
      <c r="AO61" s="48"/>
      <c r="AP61" s="48"/>
      <c r="AQ61" s="48"/>
      <c r="AR61" s="48"/>
      <c r="AS61" s="48"/>
      <c r="AT61" s="48"/>
      <c r="AU61" s="49"/>
      <c r="AV61" s="50"/>
      <c r="AW61" s="50"/>
      <c r="AX61" s="50"/>
      <c r="AY61" s="50"/>
      <c r="AZ61" s="50"/>
      <c r="BA61" s="50"/>
      <c r="BB61" s="50"/>
      <c r="BC61" s="14"/>
      <c r="DK61" s="201"/>
      <c r="DL61" s="195"/>
      <c r="DM61" s="195"/>
      <c r="DN61" s="195"/>
      <c r="DO61" s="202"/>
      <c r="DP61" s="195"/>
      <c r="DQ61" s="195"/>
    </row>
    <row r="62" spans="2:121" ht="12" customHeight="1">
      <c r="B62" s="12"/>
      <c r="C62" s="51"/>
      <c r="D62" s="51"/>
      <c r="E62" s="51"/>
      <c r="F62" s="51"/>
      <c r="G62" s="51"/>
      <c r="H62" s="51"/>
      <c r="I62" s="51"/>
      <c r="J62" s="51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13"/>
      <c r="AA62" s="13"/>
      <c r="AB62" s="53"/>
      <c r="AC62" s="13"/>
      <c r="AD62" s="13"/>
      <c r="AE62" s="13"/>
      <c r="AF62" s="13"/>
      <c r="AG62" s="24"/>
      <c r="AH62" s="24"/>
      <c r="AI62" s="24"/>
      <c r="AJ62" s="24"/>
      <c r="AK62" s="24"/>
      <c r="AL62" s="45"/>
      <c r="AM62" s="45"/>
      <c r="AN62" s="24"/>
      <c r="AO62" s="24"/>
      <c r="AP62" s="24"/>
      <c r="AQ62" s="24"/>
      <c r="AR62" s="24"/>
      <c r="AS62" s="24"/>
      <c r="AT62" s="24"/>
      <c r="AU62" s="54"/>
      <c r="AV62" s="4"/>
      <c r="AW62" s="13"/>
      <c r="AX62" s="13"/>
      <c r="AY62" s="13"/>
      <c r="AZ62" s="13"/>
      <c r="BA62" s="13"/>
      <c r="BB62" s="13"/>
      <c r="BC62" s="14"/>
      <c r="DK62" s="203"/>
      <c r="DL62" s="199"/>
      <c r="DM62" s="195"/>
      <c r="DN62" s="195"/>
      <c r="DO62" s="195"/>
      <c r="DP62" s="195"/>
      <c r="DQ62" s="195"/>
    </row>
    <row r="63" spans="2:121" ht="12" customHeight="1">
      <c r="B63" s="12"/>
      <c r="C63" s="253" t="s">
        <v>116</v>
      </c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45"/>
      <c r="AV63" s="45"/>
      <c r="AW63" s="45"/>
      <c r="AX63" s="45"/>
      <c r="AY63" s="45"/>
      <c r="AZ63" s="45"/>
      <c r="BA63" s="45"/>
      <c r="BB63" s="45"/>
      <c r="BC63" s="14"/>
      <c r="DK63" s="203"/>
      <c r="DL63" s="199"/>
      <c r="DM63" s="195"/>
      <c r="DN63" s="195"/>
      <c r="DO63" s="195"/>
      <c r="DP63" s="195"/>
      <c r="DQ63" s="195"/>
    </row>
    <row r="64" spans="2:121" ht="12" customHeight="1">
      <c r="B64" s="12"/>
      <c r="C64" s="244" t="s">
        <v>12</v>
      </c>
      <c r="D64" s="245"/>
      <c r="E64" s="245"/>
      <c r="F64" s="246"/>
      <c r="G64" s="298" t="s">
        <v>13</v>
      </c>
      <c r="H64" s="298"/>
      <c r="I64" s="298"/>
      <c r="J64" s="298"/>
      <c r="K64" s="298"/>
      <c r="L64" s="303" t="s">
        <v>117</v>
      </c>
      <c r="M64" s="303"/>
      <c r="N64" s="303"/>
      <c r="O64" s="303"/>
      <c r="P64" s="303"/>
      <c r="Q64" s="303"/>
      <c r="R64" s="242" t="s">
        <v>14</v>
      </c>
      <c r="S64" s="242"/>
      <c r="T64" s="242"/>
      <c r="U64" s="242" t="s">
        <v>22</v>
      </c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25" t="s">
        <v>18</v>
      </c>
      <c r="AH64" s="225"/>
      <c r="AI64" s="225"/>
      <c r="AJ64" s="225"/>
      <c r="AK64" s="225"/>
      <c r="AL64" s="225"/>
      <c r="AM64" s="225"/>
      <c r="AN64" s="225"/>
      <c r="AO64" s="225"/>
      <c r="AP64" s="225"/>
      <c r="AQ64" s="298" t="s">
        <v>15</v>
      </c>
      <c r="AR64" s="298"/>
      <c r="AS64" s="298"/>
      <c r="AT64" s="298"/>
      <c r="AU64" s="376" t="s">
        <v>25</v>
      </c>
      <c r="AV64" s="266"/>
      <c r="AW64" s="266"/>
      <c r="AX64" s="266"/>
      <c r="AY64" s="266"/>
      <c r="AZ64" s="266"/>
      <c r="BA64" s="266"/>
      <c r="BB64" s="266"/>
      <c r="BC64" s="14"/>
      <c r="DK64" s="203"/>
      <c r="DL64" s="199"/>
      <c r="DM64" s="195"/>
      <c r="DN64" s="195"/>
      <c r="DO64" s="200"/>
      <c r="DP64" s="195"/>
      <c r="DQ64" s="195"/>
    </row>
    <row r="65" spans="2:121" ht="12" customHeight="1">
      <c r="B65" s="12"/>
      <c r="C65" s="247"/>
      <c r="D65" s="248"/>
      <c r="E65" s="248"/>
      <c r="F65" s="249"/>
      <c r="G65" s="299"/>
      <c r="H65" s="299"/>
      <c r="I65" s="299"/>
      <c r="J65" s="299"/>
      <c r="K65" s="299"/>
      <c r="L65" s="304"/>
      <c r="M65" s="304"/>
      <c r="N65" s="304"/>
      <c r="O65" s="304"/>
      <c r="P65" s="304"/>
      <c r="Q65" s="304"/>
      <c r="R65" s="242"/>
      <c r="S65" s="242"/>
      <c r="T65" s="242"/>
      <c r="U65" s="298" t="s">
        <v>21</v>
      </c>
      <c r="V65" s="298"/>
      <c r="W65" s="298"/>
      <c r="X65" s="298"/>
      <c r="Y65" s="298" t="s">
        <v>20</v>
      </c>
      <c r="Z65" s="298"/>
      <c r="AA65" s="298"/>
      <c r="AB65" s="298"/>
      <c r="AC65" s="298" t="s">
        <v>19</v>
      </c>
      <c r="AD65" s="298"/>
      <c r="AE65" s="298"/>
      <c r="AF65" s="298"/>
      <c r="AG65" s="299" t="s">
        <v>17</v>
      </c>
      <c r="AH65" s="299"/>
      <c r="AI65" s="299"/>
      <c r="AJ65" s="299"/>
      <c r="AK65" s="299" t="s">
        <v>16</v>
      </c>
      <c r="AL65" s="299"/>
      <c r="AM65" s="299"/>
      <c r="AN65" s="299"/>
      <c r="AO65" s="299"/>
      <c r="AP65" s="299"/>
      <c r="AQ65" s="299"/>
      <c r="AR65" s="299"/>
      <c r="AS65" s="299"/>
      <c r="AT65" s="299"/>
      <c r="AU65" s="377"/>
      <c r="AV65" s="378"/>
      <c r="AW65" s="378"/>
      <c r="AX65" s="378"/>
      <c r="AY65" s="378"/>
      <c r="AZ65" s="378"/>
      <c r="BA65" s="378"/>
      <c r="BB65" s="378"/>
      <c r="BC65" s="14"/>
      <c r="DK65" s="203"/>
      <c r="DL65" s="199"/>
      <c r="DM65" s="195"/>
      <c r="DN65" s="195"/>
      <c r="DO65" s="200"/>
      <c r="DP65" s="195"/>
      <c r="DQ65" s="195"/>
    </row>
    <row r="66" spans="2:121" ht="12" customHeight="1">
      <c r="B66" s="12"/>
      <c r="C66" s="247"/>
      <c r="D66" s="248"/>
      <c r="E66" s="248"/>
      <c r="F66" s="249"/>
      <c r="G66" s="300"/>
      <c r="H66" s="300"/>
      <c r="I66" s="300"/>
      <c r="J66" s="300"/>
      <c r="K66" s="300"/>
      <c r="L66" s="305"/>
      <c r="M66" s="305"/>
      <c r="N66" s="305"/>
      <c r="O66" s="305"/>
      <c r="P66" s="305"/>
      <c r="Q66" s="305"/>
      <c r="R66" s="242"/>
      <c r="S66" s="242"/>
      <c r="T66" s="242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39"/>
      <c r="AV66" s="340"/>
      <c r="AW66" s="340"/>
      <c r="AX66" s="340"/>
      <c r="AY66" s="340"/>
      <c r="AZ66" s="340"/>
      <c r="BA66" s="340"/>
      <c r="BB66" s="340"/>
      <c r="BC66" s="14"/>
      <c r="DK66" s="203"/>
      <c r="DL66" s="199"/>
      <c r="DM66" s="195"/>
      <c r="DN66" s="199"/>
      <c r="DO66" s="195"/>
      <c r="DP66" s="195"/>
      <c r="DQ66" s="195"/>
    </row>
    <row r="67" spans="2:121" ht="9.75" customHeight="1">
      <c r="B67" s="12"/>
      <c r="C67" s="250"/>
      <c r="D67" s="251"/>
      <c r="E67" s="251"/>
      <c r="F67" s="252"/>
      <c r="G67" s="226">
        <v>12</v>
      </c>
      <c r="H67" s="226"/>
      <c r="I67" s="226"/>
      <c r="J67" s="226"/>
      <c r="K67" s="226"/>
      <c r="L67" s="226">
        <v>13</v>
      </c>
      <c r="M67" s="226"/>
      <c r="N67" s="226"/>
      <c r="O67" s="226"/>
      <c r="P67" s="226"/>
      <c r="Q67" s="226"/>
      <c r="R67" s="226">
        <v>14</v>
      </c>
      <c r="S67" s="226"/>
      <c r="T67" s="226"/>
      <c r="U67" s="226">
        <v>15</v>
      </c>
      <c r="V67" s="226"/>
      <c r="W67" s="226"/>
      <c r="X67" s="226"/>
      <c r="Y67" s="226">
        <v>16</v>
      </c>
      <c r="Z67" s="226"/>
      <c r="AA67" s="226"/>
      <c r="AB67" s="226"/>
      <c r="AC67" s="226">
        <v>17</v>
      </c>
      <c r="AD67" s="226"/>
      <c r="AE67" s="226"/>
      <c r="AF67" s="226"/>
      <c r="AG67" s="226">
        <v>18</v>
      </c>
      <c r="AH67" s="226"/>
      <c r="AI67" s="226"/>
      <c r="AJ67" s="226"/>
      <c r="AK67" s="226">
        <v>19</v>
      </c>
      <c r="AL67" s="226"/>
      <c r="AM67" s="226"/>
      <c r="AN67" s="226"/>
      <c r="AO67" s="226"/>
      <c r="AP67" s="226"/>
      <c r="AQ67" s="226">
        <v>20</v>
      </c>
      <c r="AR67" s="226"/>
      <c r="AS67" s="226"/>
      <c r="AT67" s="226"/>
      <c r="AU67" s="339"/>
      <c r="AV67" s="340"/>
      <c r="AW67" s="340"/>
      <c r="AX67" s="340"/>
      <c r="AY67" s="340"/>
      <c r="AZ67" s="340"/>
      <c r="BA67" s="340"/>
      <c r="BB67" s="340"/>
      <c r="BC67" s="14"/>
      <c r="DK67" s="203"/>
      <c r="DL67" s="199"/>
      <c r="DM67" s="195"/>
      <c r="DN67" s="195"/>
      <c r="DO67" s="195"/>
      <c r="DP67" s="195"/>
      <c r="DQ67" s="195"/>
    </row>
    <row r="68" spans="2:121" ht="12" customHeight="1">
      <c r="B68" s="12"/>
      <c r="C68" s="309" t="s">
        <v>23</v>
      </c>
      <c r="D68" s="309"/>
      <c r="E68" s="309"/>
      <c r="F68" s="309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339"/>
      <c r="AV68" s="340"/>
      <c r="AW68" s="340"/>
      <c r="AX68" s="340"/>
      <c r="AY68" s="340"/>
      <c r="AZ68" s="340"/>
      <c r="BA68" s="340"/>
      <c r="BB68" s="340"/>
      <c r="BC68" s="14"/>
      <c r="DK68" s="203"/>
      <c r="DL68" s="199"/>
      <c r="DM68" s="195"/>
      <c r="DN68" s="195"/>
      <c r="DO68" s="200"/>
      <c r="DP68" s="195"/>
      <c r="DQ68" s="187"/>
    </row>
    <row r="69" spans="2:121" ht="12" customHeight="1">
      <c r="B69" s="12"/>
      <c r="C69" s="380" t="s">
        <v>24</v>
      </c>
      <c r="D69" s="380"/>
      <c r="E69" s="380"/>
      <c r="F69" s="380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R69" s="379"/>
      <c r="AS69" s="379"/>
      <c r="AT69" s="379"/>
      <c r="AU69" s="339"/>
      <c r="AV69" s="340"/>
      <c r="AW69" s="340"/>
      <c r="AX69" s="340"/>
      <c r="AY69" s="340"/>
      <c r="AZ69" s="340"/>
      <c r="BA69" s="340"/>
      <c r="BB69" s="340"/>
      <c r="BC69" s="14"/>
      <c r="DK69" s="203"/>
      <c r="DL69" s="199"/>
      <c r="DM69" s="195"/>
      <c r="DN69" s="195"/>
      <c r="DO69" s="200"/>
      <c r="DP69" s="195"/>
      <c r="DQ69" s="195"/>
    </row>
    <row r="70" spans="2:121" ht="10.5" customHeight="1">
      <c r="B70" s="12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13"/>
      <c r="AV70" s="15"/>
      <c r="AW70" s="56"/>
      <c r="AX70" s="56"/>
      <c r="AY70" s="56"/>
      <c r="AZ70" s="56"/>
      <c r="BA70" s="56"/>
      <c r="BB70" s="56"/>
      <c r="BC70" s="14"/>
      <c r="DK70" s="203"/>
      <c r="DL70" s="199"/>
      <c r="DM70" s="195"/>
      <c r="DN70" s="195"/>
      <c r="DO70" s="195"/>
      <c r="DP70" s="195"/>
      <c r="DQ70" s="195"/>
    </row>
    <row r="71" spans="2:121" ht="12" customHeight="1">
      <c r="B71" s="12"/>
      <c r="C71" s="253" t="s">
        <v>118</v>
      </c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132"/>
      <c r="AU71" s="375"/>
      <c r="AV71" s="375"/>
      <c r="AW71" s="375"/>
      <c r="AX71" s="375"/>
      <c r="AY71" s="375"/>
      <c r="AZ71" s="375"/>
      <c r="BA71" s="375"/>
      <c r="BB71" s="375"/>
      <c r="BC71" s="14"/>
      <c r="DK71" s="203"/>
      <c r="DL71" s="199"/>
      <c r="DM71" s="195"/>
      <c r="DN71" s="195"/>
      <c r="DO71" s="195"/>
      <c r="DP71" s="195"/>
      <c r="DQ71" s="195"/>
    </row>
    <row r="72" spans="2:121" ht="12" customHeight="1">
      <c r="B72" s="12"/>
      <c r="C72" s="247" t="s">
        <v>27</v>
      </c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9"/>
      <c r="X72" s="237" t="s">
        <v>133</v>
      </c>
      <c r="Y72" s="238"/>
      <c r="Z72" s="238"/>
      <c r="AA72" s="239"/>
      <c r="AB72" s="237" t="s">
        <v>33</v>
      </c>
      <c r="AC72" s="238"/>
      <c r="AD72" s="238"/>
      <c r="AE72" s="238"/>
      <c r="AF72" s="238"/>
      <c r="AG72" s="239"/>
      <c r="AH72" s="237" t="s">
        <v>28</v>
      </c>
      <c r="AI72" s="238"/>
      <c r="AJ72" s="238"/>
      <c r="AK72" s="238"/>
      <c r="AL72" s="238"/>
      <c r="AM72" s="239"/>
      <c r="AN72" s="247" t="s">
        <v>29</v>
      </c>
      <c r="AO72" s="248"/>
      <c r="AP72" s="249"/>
      <c r="AQ72" s="247"/>
      <c r="AR72" s="248"/>
      <c r="AS72" s="249"/>
      <c r="AT72" s="268" t="s">
        <v>193</v>
      </c>
      <c r="AU72" s="269"/>
      <c r="AV72" s="269"/>
      <c r="AW72" s="269"/>
      <c r="AX72" s="269"/>
      <c r="AY72" s="269"/>
      <c r="AZ72" s="269"/>
      <c r="BA72" s="269"/>
      <c r="BB72" s="269"/>
      <c r="BC72" s="57"/>
      <c r="DK72" s="203"/>
      <c r="DL72" s="199"/>
      <c r="DM72" s="195"/>
      <c r="DN72" s="195"/>
      <c r="DO72" s="200"/>
      <c r="DP72" s="195"/>
      <c r="DQ72" s="195"/>
    </row>
    <row r="73" spans="2:121" ht="12" customHeight="1">
      <c r="B73" s="12"/>
      <c r="C73" s="250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2"/>
      <c r="X73" s="237"/>
      <c r="Y73" s="238"/>
      <c r="Z73" s="238"/>
      <c r="AA73" s="239"/>
      <c r="AB73" s="237"/>
      <c r="AC73" s="238"/>
      <c r="AD73" s="238"/>
      <c r="AE73" s="238"/>
      <c r="AF73" s="238"/>
      <c r="AG73" s="239"/>
      <c r="AH73" s="276"/>
      <c r="AI73" s="277"/>
      <c r="AJ73" s="277"/>
      <c r="AK73" s="277"/>
      <c r="AL73" s="277"/>
      <c r="AM73" s="278"/>
      <c r="AN73" s="247"/>
      <c r="AO73" s="248"/>
      <c r="AP73" s="249"/>
      <c r="AQ73" s="247"/>
      <c r="AR73" s="248"/>
      <c r="AS73" s="249"/>
      <c r="AT73" s="270"/>
      <c r="AU73" s="271"/>
      <c r="AV73" s="271"/>
      <c r="AW73" s="271"/>
      <c r="AX73" s="271"/>
      <c r="AY73" s="271"/>
      <c r="AZ73" s="271"/>
      <c r="BA73" s="271"/>
      <c r="BB73" s="271"/>
      <c r="BC73" s="14"/>
      <c r="DK73" s="203"/>
      <c r="DL73" s="199"/>
      <c r="DM73" s="195"/>
      <c r="DN73" s="195"/>
      <c r="DO73" s="200"/>
      <c r="DP73" s="195"/>
      <c r="DQ73" s="195"/>
    </row>
    <row r="74" spans="2:121" ht="12" customHeight="1">
      <c r="B74" s="12"/>
      <c r="C74" s="242" t="s">
        <v>26</v>
      </c>
      <c r="D74" s="242"/>
      <c r="E74" s="242"/>
      <c r="F74" s="242"/>
      <c r="G74" s="242"/>
      <c r="H74" s="242" t="s">
        <v>122</v>
      </c>
      <c r="I74" s="242"/>
      <c r="J74" s="242"/>
      <c r="K74" s="242"/>
      <c r="L74" s="242" t="s">
        <v>119</v>
      </c>
      <c r="M74" s="242"/>
      <c r="N74" s="242"/>
      <c r="O74" s="242"/>
      <c r="P74" s="242" t="s">
        <v>120</v>
      </c>
      <c r="Q74" s="242"/>
      <c r="R74" s="242"/>
      <c r="S74" s="242"/>
      <c r="T74" s="242" t="s">
        <v>121</v>
      </c>
      <c r="U74" s="242"/>
      <c r="V74" s="242"/>
      <c r="W74" s="242"/>
      <c r="X74" s="238"/>
      <c r="Y74" s="238"/>
      <c r="Z74" s="238"/>
      <c r="AA74" s="239"/>
      <c r="AB74" s="237"/>
      <c r="AC74" s="238"/>
      <c r="AD74" s="238"/>
      <c r="AE74" s="238"/>
      <c r="AF74" s="238"/>
      <c r="AG74" s="238"/>
      <c r="AH74" s="225" t="s">
        <v>123</v>
      </c>
      <c r="AI74" s="242"/>
      <c r="AJ74" s="242"/>
      <c r="AK74" s="225" t="s">
        <v>124</v>
      </c>
      <c r="AL74" s="242"/>
      <c r="AM74" s="242"/>
      <c r="AN74" s="248"/>
      <c r="AO74" s="248"/>
      <c r="AP74" s="249"/>
      <c r="AQ74" s="247"/>
      <c r="AR74" s="248"/>
      <c r="AS74" s="249"/>
      <c r="AT74" s="272"/>
      <c r="AU74" s="254"/>
      <c r="AV74" s="254"/>
      <c r="AW74" s="254"/>
      <c r="AX74" s="254"/>
      <c r="AY74" s="254"/>
      <c r="AZ74" s="254"/>
      <c r="BA74" s="254"/>
      <c r="BB74" s="254"/>
      <c r="BC74" s="14"/>
      <c r="DK74" s="203"/>
      <c r="DL74" s="199"/>
      <c r="DM74" s="195"/>
      <c r="DN74" s="195"/>
      <c r="DO74" s="200"/>
      <c r="DP74" s="195"/>
      <c r="DQ74" s="195"/>
    </row>
    <row r="75" spans="2:121" ht="12" customHeight="1">
      <c r="B75" s="1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77"/>
      <c r="Y75" s="277"/>
      <c r="Z75" s="277"/>
      <c r="AA75" s="278"/>
      <c r="AB75" s="276"/>
      <c r="AC75" s="277"/>
      <c r="AD75" s="277"/>
      <c r="AE75" s="277"/>
      <c r="AF75" s="277"/>
      <c r="AG75" s="277"/>
      <c r="AH75" s="242"/>
      <c r="AI75" s="242"/>
      <c r="AJ75" s="242"/>
      <c r="AK75" s="242"/>
      <c r="AL75" s="242"/>
      <c r="AM75" s="242"/>
      <c r="AN75" s="251"/>
      <c r="AO75" s="251"/>
      <c r="AP75" s="252"/>
      <c r="AQ75" s="250"/>
      <c r="AR75" s="251"/>
      <c r="AS75" s="252"/>
      <c r="AT75" s="283" t="s">
        <v>43</v>
      </c>
      <c r="AU75" s="284"/>
      <c r="AV75" s="284"/>
      <c r="AW75" s="284"/>
      <c r="AX75" s="254"/>
      <c r="AY75" s="254"/>
      <c r="AZ75" s="254"/>
      <c r="BA75" s="254"/>
      <c r="BB75" s="254"/>
      <c r="BC75" s="14"/>
      <c r="DK75" s="203"/>
      <c r="DL75" s="199"/>
      <c r="DM75" s="195"/>
      <c r="DN75" s="195"/>
      <c r="DO75" s="195"/>
      <c r="DP75" s="195"/>
      <c r="DQ75" s="195"/>
    </row>
    <row r="76" spans="2:121" ht="9.75" customHeight="1">
      <c r="B76" s="12"/>
      <c r="C76" s="230">
        <v>21</v>
      </c>
      <c r="D76" s="231"/>
      <c r="E76" s="231"/>
      <c r="F76" s="231"/>
      <c r="G76" s="232"/>
      <c r="H76" s="230">
        <v>22</v>
      </c>
      <c r="I76" s="231"/>
      <c r="J76" s="231"/>
      <c r="K76" s="232"/>
      <c r="L76" s="230">
        <v>23</v>
      </c>
      <c r="M76" s="231"/>
      <c r="N76" s="231"/>
      <c r="O76" s="232"/>
      <c r="P76" s="230">
        <v>24</v>
      </c>
      <c r="Q76" s="231"/>
      <c r="R76" s="231"/>
      <c r="S76" s="232"/>
      <c r="T76" s="230">
        <v>25</v>
      </c>
      <c r="U76" s="231"/>
      <c r="V76" s="231"/>
      <c r="W76" s="232"/>
      <c r="X76" s="230">
        <v>26</v>
      </c>
      <c r="Y76" s="231"/>
      <c r="Z76" s="231"/>
      <c r="AA76" s="232"/>
      <c r="AB76" s="230">
        <v>27</v>
      </c>
      <c r="AC76" s="231"/>
      <c r="AD76" s="231"/>
      <c r="AE76" s="231"/>
      <c r="AF76" s="231"/>
      <c r="AG76" s="232"/>
      <c r="AH76" s="230">
        <v>28</v>
      </c>
      <c r="AI76" s="231"/>
      <c r="AJ76" s="232"/>
      <c r="AK76" s="230">
        <v>29</v>
      </c>
      <c r="AL76" s="231"/>
      <c r="AM76" s="232"/>
      <c r="AN76" s="230">
        <v>30</v>
      </c>
      <c r="AO76" s="231"/>
      <c r="AP76" s="232"/>
      <c r="AQ76" s="226">
        <v>31</v>
      </c>
      <c r="AR76" s="226"/>
      <c r="AS76" s="226"/>
      <c r="AT76" s="270"/>
      <c r="AU76" s="271"/>
      <c r="AV76" s="271"/>
      <c r="AW76" s="271"/>
      <c r="AX76" s="254"/>
      <c r="AY76" s="254"/>
      <c r="AZ76" s="254"/>
      <c r="BA76" s="254"/>
      <c r="BB76" s="254"/>
      <c r="BC76" s="14"/>
      <c r="DK76" s="203"/>
      <c r="DL76" s="204"/>
      <c r="DM76" s="195"/>
      <c r="DN76" s="195"/>
      <c r="DO76" s="200"/>
      <c r="DP76" s="195"/>
      <c r="DQ76" s="199"/>
    </row>
    <row r="77" spans="2:121" ht="12" customHeight="1">
      <c r="B77" s="12"/>
      <c r="C77" s="381"/>
      <c r="D77" s="382"/>
      <c r="E77" s="382"/>
      <c r="F77" s="382"/>
      <c r="G77" s="383"/>
      <c r="H77" s="381"/>
      <c r="I77" s="382"/>
      <c r="J77" s="382"/>
      <c r="K77" s="383"/>
      <c r="L77" s="381"/>
      <c r="M77" s="382"/>
      <c r="N77" s="382"/>
      <c r="O77" s="383"/>
      <c r="P77" s="381"/>
      <c r="Q77" s="382"/>
      <c r="R77" s="382"/>
      <c r="S77" s="383"/>
      <c r="T77" s="381"/>
      <c r="U77" s="382"/>
      <c r="V77" s="382"/>
      <c r="W77" s="383"/>
      <c r="X77" s="381"/>
      <c r="Y77" s="382"/>
      <c r="Z77" s="382"/>
      <c r="AA77" s="383"/>
      <c r="AB77" s="381"/>
      <c r="AC77" s="382"/>
      <c r="AD77" s="382"/>
      <c r="AE77" s="382"/>
      <c r="AF77" s="382"/>
      <c r="AG77" s="383"/>
      <c r="AH77" s="381"/>
      <c r="AI77" s="382"/>
      <c r="AJ77" s="383"/>
      <c r="AK77" s="381"/>
      <c r="AL77" s="382"/>
      <c r="AM77" s="383"/>
      <c r="AN77" s="381"/>
      <c r="AO77" s="382"/>
      <c r="AP77" s="383"/>
      <c r="AQ77" s="273"/>
      <c r="AR77" s="274"/>
      <c r="AS77" s="275"/>
      <c r="AT77" s="272"/>
      <c r="AU77" s="254"/>
      <c r="AV77" s="254"/>
      <c r="AW77" s="254"/>
      <c r="AX77" s="254"/>
      <c r="AY77" s="254"/>
      <c r="AZ77" s="254"/>
      <c r="BA77" s="254"/>
      <c r="BB77" s="254"/>
      <c r="BC77" s="14"/>
      <c r="DK77" s="203"/>
      <c r="DL77" s="199"/>
      <c r="DM77" s="195"/>
      <c r="DN77" s="195"/>
      <c r="DO77" s="200"/>
      <c r="DP77" s="195"/>
      <c r="DQ77" s="199"/>
    </row>
    <row r="78" spans="2:121" ht="12" customHeight="1">
      <c r="B78" s="12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9"/>
      <c r="AR78" s="59"/>
      <c r="AS78" s="59"/>
      <c r="AT78" s="13"/>
      <c r="AU78" s="13"/>
      <c r="AV78" s="13"/>
      <c r="AW78" s="13"/>
      <c r="AX78" s="13"/>
      <c r="AY78" s="13"/>
      <c r="AZ78" s="13"/>
      <c r="BA78" s="13"/>
      <c r="BB78" s="13"/>
      <c r="BC78" s="14"/>
      <c r="DK78" s="201"/>
      <c r="DL78" s="204"/>
      <c r="DM78" s="199"/>
      <c r="DN78" s="195"/>
      <c r="DO78" s="200"/>
      <c r="DP78" s="195"/>
      <c r="DQ78" s="199"/>
    </row>
    <row r="79" spans="2:121" ht="10.5" customHeight="1">
      <c r="B79" s="12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13"/>
      <c r="AV79" s="13"/>
      <c r="AW79" s="56"/>
      <c r="AX79" s="56"/>
      <c r="AY79" s="56"/>
      <c r="AZ79" s="56"/>
      <c r="BA79" s="56"/>
      <c r="BB79" s="56"/>
      <c r="BC79" s="14"/>
      <c r="BL79" s="125"/>
      <c r="DK79" s="205"/>
      <c r="DL79" s="195"/>
      <c r="DM79" s="199"/>
      <c r="DN79" s="195"/>
      <c r="DO79" s="200"/>
      <c r="DP79" s="195"/>
      <c r="DQ79" s="195"/>
    </row>
    <row r="80" spans="2:121" ht="12" customHeight="1">
      <c r="B80" s="12"/>
      <c r="C80" s="234" t="s">
        <v>30</v>
      </c>
      <c r="D80" s="235"/>
      <c r="E80" s="235"/>
      <c r="F80" s="235"/>
      <c r="G80" s="236"/>
      <c r="H80" s="244" t="s">
        <v>31</v>
      </c>
      <c r="I80" s="245"/>
      <c r="J80" s="245"/>
      <c r="K80" s="246"/>
      <c r="L80" s="234" t="s">
        <v>32</v>
      </c>
      <c r="M80" s="235"/>
      <c r="N80" s="236"/>
      <c r="O80" s="234" t="s">
        <v>125</v>
      </c>
      <c r="P80" s="235"/>
      <c r="Q80" s="235"/>
      <c r="R80" s="236"/>
      <c r="S80" s="234" t="s">
        <v>33</v>
      </c>
      <c r="T80" s="235"/>
      <c r="U80" s="235"/>
      <c r="V80" s="236"/>
      <c r="W80" s="225" t="s">
        <v>127</v>
      </c>
      <c r="X80" s="225"/>
      <c r="Y80" s="225"/>
      <c r="Z80" s="225"/>
      <c r="AA80" s="225" t="s">
        <v>126</v>
      </c>
      <c r="AB80" s="225"/>
      <c r="AC80" s="225"/>
      <c r="AD80" s="225"/>
      <c r="AE80" s="225"/>
      <c r="AF80" s="225"/>
      <c r="AG80" s="225"/>
      <c r="AH80" s="225"/>
      <c r="AI80" s="234" t="s">
        <v>36</v>
      </c>
      <c r="AJ80" s="235"/>
      <c r="AK80" s="235"/>
      <c r="AL80" s="235"/>
      <c r="AM80" s="236"/>
      <c r="AN80" s="234" t="s">
        <v>194</v>
      </c>
      <c r="AO80" s="235"/>
      <c r="AP80" s="235"/>
      <c r="AQ80" s="235"/>
      <c r="AR80" s="236"/>
      <c r="AS80" s="242" t="s">
        <v>37</v>
      </c>
      <c r="AT80" s="242"/>
      <c r="AU80" s="242"/>
      <c r="AV80" s="242"/>
      <c r="AW80" s="242"/>
      <c r="AX80" s="242"/>
      <c r="AY80" s="242"/>
      <c r="AZ80" s="242"/>
      <c r="BA80" s="242"/>
      <c r="BB80" s="242"/>
      <c r="BC80" s="14"/>
      <c r="BL80" s="125"/>
      <c r="BO80" s="125"/>
      <c r="DK80" s="195"/>
      <c r="DL80" s="195"/>
      <c r="DM80" s="199"/>
      <c r="DN80" s="195"/>
      <c r="DO80" s="200"/>
      <c r="DP80" s="195"/>
      <c r="DQ80" s="195"/>
    </row>
    <row r="81" spans="2:121" ht="12" customHeight="1">
      <c r="B81" s="12"/>
      <c r="C81" s="237"/>
      <c r="D81" s="238"/>
      <c r="E81" s="238"/>
      <c r="F81" s="238"/>
      <c r="G81" s="239"/>
      <c r="H81" s="247"/>
      <c r="I81" s="248"/>
      <c r="J81" s="248"/>
      <c r="K81" s="249"/>
      <c r="L81" s="237"/>
      <c r="M81" s="238"/>
      <c r="N81" s="239"/>
      <c r="O81" s="237"/>
      <c r="P81" s="238"/>
      <c r="Q81" s="238"/>
      <c r="R81" s="239"/>
      <c r="S81" s="237"/>
      <c r="T81" s="238"/>
      <c r="U81" s="238"/>
      <c r="V81" s="239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37"/>
      <c r="AJ81" s="238"/>
      <c r="AK81" s="238"/>
      <c r="AL81" s="238"/>
      <c r="AM81" s="239"/>
      <c r="AN81" s="237"/>
      <c r="AO81" s="238"/>
      <c r="AP81" s="238"/>
      <c r="AQ81" s="238"/>
      <c r="AR81" s="239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14"/>
      <c r="BL81" s="125"/>
      <c r="BN81" s="125"/>
      <c r="BO81" s="125"/>
      <c r="DK81" s="195"/>
      <c r="DL81" s="195"/>
      <c r="DM81" s="195"/>
      <c r="DN81" s="195"/>
      <c r="DO81" s="195"/>
      <c r="DP81" s="195"/>
      <c r="DQ81" s="195"/>
    </row>
    <row r="82" spans="2:121" ht="12" customHeight="1">
      <c r="B82" s="12"/>
      <c r="C82" s="237"/>
      <c r="D82" s="238"/>
      <c r="E82" s="238"/>
      <c r="F82" s="238"/>
      <c r="G82" s="239"/>
      <c r="H82" s="247"/>
      <c r="I82" s="248"/>
      <c r="J82" s="248"/>
      <c r="K82" s="249"/>
      <c r="L82" s="237"/>
      <c r="M82" s="238"/>
      <c r="N82" s="239"/>
      <c r="O82" s="237"/>
      <c r="P82" s="238"/>
      <c r="Q82" s="238"/>
      <c r="R82" s="239"/>
      <c r="S82" s="237"/>
      <c r="T82" s="238"/>
      <c r="U82" s="238"/>
      <c r="V82" s="239"/>
      <c r="W82" s="225"/>
      <c r="X82" s="225"/>
      <c r="Y82" s="225"/>
      <c r="Z82" s="225"/>
      <c r="AA82" s="242" t="s">
        <v>34</v>
      </c>
      <c r="AB82" s="242"/>
      <c r="AC82" s="242"/>
      <c r="AD82" s="242"/>
      <c r="AE82" s="242" t="s">
        <v>35</v>
      </c>
      <c r="AF82" s="242"/>
      <c r="AG82" s="242"/>
      <c r="AH82" s="242"/>
      <c r="AI82" s="237"/>
      <c r="AJ82" s="238"/>
      <c r="AK82" s="238"/>
      <c r="AL82" s="238"/>
      <c r="AM82" s="239"/>
      <c r="AN82" s="237"/>
      <c r="AO82" s="238"/>
      <c r="AP82" s="238"/>
      <c r="AQ82" s="238"/>
      <c r="AR82" s="239"/>
      <c r="AS82" s="242" t="s">
        <v>38</v>
      </c>
      <c r="AT82" s="242"/>
      <c r="AU82" s="242"/>
      <c r="AV82" s="242"/>
      <c r="AW82" s="242"/>
      <c r="AX82" s="225" t="s">
        <v>39</v>
      </c>
      <c r="AY82" s="225"/>
      <c r="AZ82" s="225"/>
      <c r="BA82" s="225"/>
      <c r="BB82" s="225"/>
      <c r="BC82" s="14"/>
      <c r="BL82" s="125"/>
      <c r="BN82" s="125"/>
      <c r="BO82" s="125"/>
      <c r="DK82" s="195"/>
      <c r="DL82" s="195"/>
      <c r="DM82" s="195"/>
      <c r="DN82" s="195"/>
      <c r="DO82" s="195"/>
      <c r="DP82" s="195"/>
      <c r="DQ82" s="195"/>
    </row>
    <row r="83" spans="2:121" ht="12" customHeight="1">
      <c r="B83" s="12"/>
      <c r="C83" s="237"/>
      <c r="D83" s="238"/>
      <c r="E83" s="238"/>
      <c r="F83" s="238"/>
      <c r="G83" s="239"/>
      <c r="H83" s="250"/>
      <c r="I83" s="251"/>
      <c r="J83" s="251"/>
      <c r="K83" s="252"/>
      <c r="L83" s="276"/>
      <c r="M83" s="277"/>
      <c r="N83" s="278"/>
      <c r="O83" s="237"/>
      <c r="P83" s="238"/>
      <c r="Q83" s="238"/>
      <c r="R83" s="239"/>
      <c r="S83" s="276"/>
      <c r="T83" s="277"/>
      <c r="U83" s="277"/>
      <c r="V83" s="278"/>
      <c r="W83" s="225"/>
      <c r="X83" s="225"/>
      <c r="Y83" s="225"/>
      <c r="Z83" s="225"/>
      <c r="AA83" s="242"/>
      <c r="AB83" s="242"/>
      <c r="AC83" s="242"/>
      <c r="AD83" s="242"/>
      <c r="AE83" s="242"/>
      <c r="AF83" s="242"/>
      <c r="AG83" s="242"/>
      <c r="AH83" s="242"/>
      <c r="AI83" s="237"/>
      <c r="AJ83" s="238"/>
      <c r="AK83" s="238"/>
      <c r="AL83" s="238"/>
      <c r="AM83" s="239"/>
      <c r="AN83" s="237"/>
      <c r="AO83" s="238"/>
      <c r="AP83" s="238"/>
      <c r="AQ83" s="238"/>
      <c r="AR83" s="239"/>
      <c r="AS83" s="242"/>
      <c r="AT83" s="242"/>
      <c r="AU83" s="242"/>
      <c r="AV83" s="242"/>
      <c r="AW83" s="242"/>
      <c r="AX83" s="225"/>
      <c r="AY83" s="225"/>
      <c r="AZ83" s="225"/>
      <c r="BA83" s="225"/>
      <c r="BB83" s="225"/>
      <c r="BC83" s="14"/>
      <c r="BL83" s="125"/>
      <c r="BO83" s="125"/>
      <c r="DK83" s="195"/>
      <c r="DL83" s="195"/>
      <c r="DM83" s="195"/>
      <c r="DN83" s="195"/>
      <c r="DO83" s="195"/>
      <c r="DP83" s="195"/>
      <c r="DQ83" s="195"/>
    </row>
    <row r="84" spans="2:121" ht="9.75" customHeight="1">
      <c r="B84" s="12"/>
      <c r="C84" s="276"/>
      <c r="D84" s="277"/>
      <c r="E84" s="277"/>
      <c r="F84" s="277"/>
      <c r="G84" s="278"/>
      <c r="H84" s="230">
        <v>32</v>
      </c>
      <c r="I84" s="231"/>
      <c r="J84" s="231"/>
      <c r="K84" s="232"/>
      <c r="L84" s="230">
        <v>33</v>
      </c>
      <c r="M84" s="231"/>
      <c r="N84" s="232"/>
      <c r="O84" s="226">
        <v>34</v>
      </c>
      <c r="P84" s="226"/>
      <c r="Q84" s="226"/>
      <c r="R84" s="226"/>
      <c r="S84" s="230">
        <v>35</v>
      </c>
      <c r="T84" s="231"/>
      <c r="U84" s="231"/>
      <c r="V84" s="232"/>
      <c r="W84" s="226">
        <v>36</v>
      </c>
      <c r="X84" s="226"/>
      <c r="Y84" s="226"/>
      <c r="Z84" s="226"/>
      <c r="AA84" s="226">
        <v>37</v>
      </c>
      <c r="AB84" s="226"/>
      <c r="AC84" s="226"/>
      <c r="AD84" s="226"/>
      <c r="AE84" s="230">
        <v>38</v>
      </c>
      <c r="AF84" s="231"/>
      <c r="AG84" s="231"/>
      <c r="AH84" s="232"/>
      <c r="AI84" s="226">
        <v>39</v>
      </c>
      <c r="AJ84" s="226"/>
      <c r="AK84" s="226"/>
      <c r="AL84" s="226"/>
      <c r="AM84" s="226"/>
      <c r="AN84" s="226">
        <v>40</v>
      </c>
      <c r="AO84" s="226"/>
      <c r="AP84" s="226"/>
      <c r="AQ84" s="226"/>
      <c r="AR84" s="226"/>
      <c r="AS84" s="226">
        <v>41</v>
      </c>
      <c r="AT84" s="226"/>
      <c r="AU84" s="226"/>
      <c r="AV84" s="226"/>
      <c r="AW84" s="226"/>
      <c r="AX84" s="226">
        <v>42</v>
      </c>
      <c r="AY84" s="226"/>
      <c r="AZ84" s="226"/>
      <c r="BA84" s="226"/>
      <c r="BB84" s="226"/>
      <c r="BC84" s="14"/>
      <c r="BL84" s="125"/>
      <c r="BO84" s="125"/>
      <c r="DK84" s="195"/>
      <c r="DL84" s="195"/>
      <c r="DM84" s="195"/>
      <c r="DN84" s="195"/>
      <c r="DO84" s="195"/>
      <c r="DP84" s="195"/>
      <c r="DQ84" s="195"/>
    </row>
    <row r="85" spans="2:121" ht="12" customHeight="1">
      <c r="B85" s="12"/>
      <c r="C85" s="309" t="s">
        <v>40</v>
      </c>
      <c r="D85" s="309"/>
      <c r="E85" s="309"/>
      <c r="F85" s="309"/>
      <c r="G85" s="309"/>
      <c r="H85" s="233"/>
      <c r="I85" s="233"/>
      <c r="J85" s="233"/>
      <c r="K85" s="233"/>
      <c r="L85" s="233"/>
      <c r="M85" s="233"/>
      <c r="N85" s="233"/>
      <c r="O85" s="227"/>
      <c r="P85" s="228"/>
      <c r="Q85" s="228"/>
      <c r="R85" s="229"/>
      <c r="S85" s="233"/>
      <c r="T85" s="233"/>
      <c r="U85" s="233"/>
      <c r="V85" s="233"/>
      <c r="W85" s="227"/>
      <c r="X85" s="228"/>
      <c r="Y85" s="228"/>
      <c r="Z85" s="229"/>
      <c r="AA85" s="233"/>
      <c r="AB85" s="233"/>
      <c r="AC85" s="233"/>
      <c r="AD85" s="233"/>
      <c r="AE85" s="233"/>
      <c r="AF85" s="233"/>
      <c r="AG85" s="233"/>
      <c r="AH85" s="233"/>
      <c r="AI85" s="227"/>
      <c r="AJ85" s="228"/>
      <c r="AK85" s="228"/>
      <c r="AL85" s="228"/>
      <c r="AM85" s="229"/>
      <c r="AN85" s="227"/>
      <c r="AO85" s="228"/>
      <c r="AP85" s="228"/>
      <c r="AQ85" s="228"/>
      <c r="AR85" s="229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14"/>
      <c r="BL85" s="125"/>
      <c r="BO85" s="125"/>
      <c r="DK85" s="195"/>
      <c r="DL85" s="195"/>
      <c r="DM85" s="195"/>
      <c r="DN85" s="195"/>
      <c r="DO85" s="195"/>
      <c r="DP85" s="195"/>
      <c r="DQ85" s="195"/>
    </row>
    <row r="86" spans="2:121" ht="12" customHeight="1">
      <c r="B86" s="12"/>
      <c r="C86" s="384" t="s">
        <v>41</v>
      </c>
      <c r="D86" s="384"/>
      <c r="E86" s="384"/>
      <c r="F86" s="384"/>
      <c r="G86" s="384"/>
      <c r="H86" s="241"/>
      <c r="I86" s="241"/>
      <c r="J86" s="241"/>
      <c r="K86" s="241"/>
      <c r="L86" s="241"/>
      <c r="M86" s="241"/>
      <c r="N86" s="241"/>
      <c r="O86" s="219"/>
      <c r="P86" s="220"/>
      <c r="Q86" s="220"/>
      <c r="R86" s="221"/>
      <c r="S86" s="241"/>
      <c r="T86" s="241"/>
      <c r="U86" s="241"/>
      <c r="V86" s="241"/>
      <c r="W86" s="219"/>
      <c r="X86" s="220"/>
      <c r="Y86" s="220"/>
      <c r="Z86" s="221"/>
      <c r="AA86" s="241"/>
      <c r="AB86" s="241"/>
      <c r="AC86" s="241"/>
      <c r="AD86" s="241"/>
      <c r="AE86" s="241"/>
      <c r="AF86" s="241"/>
      <c r="AG86" s="241"/>
      <c r="AH86" s="241"/>
      <c r="AI86" s="219"/>
      <c r="AJ86" s="220"/>
      <c r="AK86" s="220"/>
      <c r="AL86" s="220"/>
      <c r="AM86" s="221"/>
      <c r="AN86" s="219"/>
      <c r="AO86" s="220"/>
      <c r="AP86" s="220"/>
      <c r="AQ86" s="220"/>
      <c r="AR86" s="221"/>
      <c r="AS86" s="241"/>
      <c r="AT86" s="241"/>
      <c r="AU86" s="241"/>
      <c r="AV86" s="241"/>
      <c r="AW86" s="241"/>
      <c r="AX86" s="241"/>
      <c r="AY86" s="241"/>
      <c r="AZ86" s="241"/>
      <c r="BA86" s="241"/>
      <c r="BB86" s="241"/>
      <c r="BC86" s="14"/>
      <c r="BL86" s="125"/>
      <c r="BO86" s="125"/>
      <c r="DK86" s="195"/>
      <c r="DL86" s="195"/>
      <c r="DM86" s="195"/>
      <c r="DN86" s="195"/>
      <c r="DO86" s="195"/>
      <c r="DP86" s="195"/>
      <c r="DQ86" s="195"/>
    </row>
    <row r="87" spans="2:121" ht="12" customHeight="1">
      <c r="B87" s="12"/>
      <c r="C87" s="384" t="s">
        <v>42</v>
      </c>
      <c r="D87" s="384"/>
      <c r="E87" s="384"/>
      <c r="F87" s="384"/>
      <c r="G87" s="384"/>
      <c r="H87" s="241"/>
      <c r="I87" s="241"/>
      <c r="J87" s="241"/>
      <c r="K87" s="241"/>
      <c r="L87" s="241"/>
      <c r="M87" s="241"/>
      <c r="N87" s="241"/>
      <c r="O87" s="219"/>
      <c r="P87" s="220"/>
      <c r="Q87" s="220"/>
      <c r="R87" s="221"/>
      <c r="S87" s="241"/>
      <c r="T87" s="241"/>
      <c r="U87" s="241"/>
      <c r="V87" s="241"/>
      <c r="W87" s="219"/>
      <c r="X87" s="220"/>
      <c r="Y87" s="220"/>
      <c r="Z87" s="221"/>
      <c r="AA87" s="241"/>
      <c r="AB87" s="241"/>
      <c r="AC87" s="241"/>
      <c r="AD87" s="241"/>
      <c r="AE87" s="241"/>
      <c r="AF87" s="241"/>
      <c r="AG87" s="241"/>
      <c r="AH87" s="241"/>
      <c r="AI87" s="219"/>
      <c r="AJ87" s="220"/>
      <c r="AK87" s="220"/>
      <c r="AL87" s="220"/>
      <c r="AM87" s="221"/>
      <c r="AN87" s="219"/>
      <c r="AO87" s="220"/>
      <c r="AP87" s="220"/>
      <c r="AQ87" s="220"/>
      <c r="AR87" s="22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14"/>
      <c r="BL87" s="125"/>
      <c r="BO87" s="125"/>
      <c r="DK87" s="195"/>
      <c r="DL87" s="195"/>
      <c r="DM87" s="195"/>
      <c r="DN87" s="195"/>
      <c r="DO87" s="195"/>
      <c r="DP87" s="195"/>
      <c r="DQ87" s="195"/>
    </row>
    <row r="88" spans="2:121" ht="12" customHeight="1">
      <c r="B88" s="12"/>
      <c r="C88" s="380" t="s">
        <v>37</v>
      </c>
      <c r="D88" s="380"/>
      <c r="E88" s="380"/>
      <c r="F88" s="380"/>
      <c r="G88" s="380"/>
      <c r="H88" s="240"/>
      <c r="I88" s="240"/>
      <c r="J88" s="240"/>
      <c r="K88" s="240"/>
      <c r="L88" s="240"/>
      <c r="M88" s="240"/>
      <c r="N88" s="240"/>
      <c r="O88" s="222"/>
      <c r="P88" s="223"/>
      <c r="Q88" s="223"/>
      <c r="R88" s="224"/>
      <c r="S88" s="240"/>
      <c r="T88" s="240"/>
      <c r="U88" s="240"/>
      <c r="V88" s="240"/>
      <c r="W88" s="222"/>
      <c r="X88" s="223"/>
      <c r="Y88" s="223"/>
      <c r="Z88" s="224"/>
      <c r="AA88" s="240"/>
      <c r="AB88" s="240"/>
      <c r="AC88" s="240"/>
      <c r="AD88" s="240"/>
      <c r="AE88" s="240"/>
      <c r="AF88" s="240"/>
      <c r="AG88" s="240"/>
      <c r="AH88" s="240"/>
      <c r="AI88" s="222"/>
      <c r="AJ88" s="223"/>
      <c r="AK88" s="223"/>
      <c r="AL88" s="223"/>
      <c r="AM88" s="224"/>
      <c r="AN88" s="222"/>
      <c r="AO88" s="223"/>
      <c r="AP88" s="223"/>
      <c r="AQ88" s="223"/>
      <c r="AR88" s="224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14"/>
      <c r="BO88" s="125"/>
      <c r="DK88" s="195"/>
      <c r="DL88" s="195"/>
      <c r="DM88" s="195"/>
      <c r="DN88" s="195"/>
      <c r="DO88" s="195"/>
      <c r="DP88" s="195"/>
      <c r="DQ88" s="195"/>
    </row>
    <row r="89" spans="2:121" ht="9.75" customHeight="1">
      <c r="B89" s="12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56"/>
      <c r="AX89" s="56"/>
      <c r="AY89" s="56"/>
      <c r="AZ89" s="56"/>
      <c r="BA89" s="56"/>
      <c r="BB89" s="56"/>
      <c r="BC89" s="14"/>
      <c r="DK89" s="206"/>
      <c r="DL89" s="195"/>
      <c r="DM89" s="195"/>
      <c r="DN89" s="195"/>
      <c r="DO89" s="195"/>
      <c r="DP89" s="195"/>
      <c r="DQ89" s="195"/>
    </row>
    <row r="90" spans="2:121" ht="12" customHeight="1">
      <c r="B90" s="12"/>
      <c r="C90" s="266" t="s">
        <v>129</v>
      </c>
      <c r="D90" s="266"/>
      <c r="E90" s="266"/>
      <c r="F90" s="266"/>
      <c r="G90" s="266"/>
      <c r="H90" s="266"/>
      <c r="I90" s="266"/>
      <c r="J90" s="266"/>
      <c r="K90" s="266"/>
      <c r="L90" s="266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13"/>
      <c r="AF90" s="13"/>
      <c r="AG90" s="13"/>
      <c r="AH90" s="13"/>
      <c r="AI90" s="13"/>
      <c r="AJ90" s="13"/>
      <c r="AK90" s="13"/>
      <c r="AL90" s="13"/>
      <c r="AM90" s="13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4"/>
      <c r="DK90" s="195"/>
      <c r="DL90" s="195"/>
      <c r="DM90" s="195"/>
      <c r="DN90" s="195"/>
      <c r="DO90" s="195"/>
      <c r="DP90" s="195"/>
      <c r="DQ90" s="195"/>
    </row>
    <row r="91" spans="2:121" ht="12" customHeight="1">
      <c r="B91" s="12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15"/>
      <c r="AO91" s="15"/>
      <c r="AP91" s="15"/>
      <c r="AQ91" s="15"/>
      <c r="AR91" s="15"/>
      <c r="AS91" s="15"/>
      <c r="AT91" s="15"/>
      <c r="AU91" s="15"/>
      <c r="AV91" s="15"/>
      <c r="AW91" s="56"/>
      <c r="AX91" s="56"/>
      <c r="AY91" s="56"/>
      <c r="AZ91" s="56"/>
      <c r="BA91" s="56"/>
      <c r="BB91" s="56"/>
      <c r="BC91" s="14"/>
      <c r="DK91" s="195"/>
      <c r="DL91" s="195"/>
      <c r="DM91" s="195"/>
      <c r="DN91" s="195"/>
      <c r="DO91" s="195"/>
      <c r="DP91" s="195"/>
      <c r="DQ91" s="195"/>
    </row>
    <row r="92" spans="2:67" ht="12" customHeight="1" thickBot="1"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3"/>
      <c r="BL92" s="125"/>
      <c r="BM92" s="125"/>
      <c r="BN92" s="125"/>
      <c r="BO92" s="125"/>
    </row>
    <row r="93" spans="64:67" ht="12" customHeight="1">
      <c r="BL93" s="125"/>
      <c r="BM93" s="125"/>
      <c r="BN93" s="125"/>
      <c r="BO93" s="125"/>
    </row>
    <row r="94" spans="115:121" s="125" customFormat="1" ht="12" customHeight="1">
      <c r="DK94" s="208"/>
      <c r="DL94" s="208"/>
      <c r="DM94" s="208"/>
      <c r="DN94" s="208"/>
      <c r="DO94" s="208"/>
      <c r="DP94" s="208"/>
      <c r="DQ94" s="208"/>
    </row>
    <row r="95" spans="115:121" s="125" customFormat="1" ht="12" customHeight="1">
      <c r="DK95" s="208"/>
      <c r="DL95" s="208"/>
      <c r="DM95" s="208"/>
      <c r="DN95" s="208"/>
      <c r="DO95" s="208"/>
      <c r="DP95" s="208"/>
      <c r="DQ95" s="208"/>
    </row>
    <row r="96" spans="115:121" s="125" customFormat="1" ht="12" customHeight="1">
      <c r="DK96" s="208"/>
      <c r="DL96" s="208"/>
      <c r="DM96" s="208"/>
      <c r="DN96" s="208"/>
      <c r="DO96" s="208"/>
      <c r="DP96" s="208"/>
      <c r="DQ96" s="208"/>
    </row>
    <row r="97" spans="115:121" s="125" customFormat="1" ht="12" customHeight="1">
      <c r="DK97" s="208"/>
      <c r="DL97" s="208"/>
      <c r="DM97" s="208"/>
      <c r="DN97" s="208"/>
      <c r="DO97" s="208"/>
      <c r="DP97" s="208"/>
      <c r="DQ97" s="208"/>
    </row>
    <row r="98" spans="115:121" s="125" customFormat="1" ht="12" customHeight="1">
      <c r="DK98" s="208"/>
      <c r="DL98" s="208"/>
      <c r="DM98" s="208"/>
      <c r="DN98" s="208"/>
      <c r="DO98" s="208"/>
      <c r="DP98" s="208"/>
      <c r="DQ98" s="208"/>
    </row>
    <row r="99" spans="115:121" s="125" customFormat="1" ht="12" customHeight="1">
      <c r="DK99" s="208"/>
      <c r="DL99" s="208"/>
      <c r="DM99" s="208"/>
      <c r="DN99" s="208"/>
      <c r="DO99" s="208"/>
      <c r="DP99" s="208"/>
      <c r="DQ99" s="208"/>
    </row>
    <row r="100" spans="115:121" s="125" customFormat="1" ht="12" customHeight="1">
      <c r="DK100" s="208"/>
      <c r="DL100" s="208"/>
      <c r="DM100" s="208"/>
      <c r="DN100" s="208"/>
      <c r="DO100" s="208"/>
      <c r="DP100" s="208"/>
      <c r="DQ100" s="208"/>
    </row>
    <row r="101" spans="115:121" s="125" customFormat="1" ht="12" customHeight="1">
      <c r="DK101" s="208"/>
      <c r="DL101" s="208"/>
      <c r="DM101" s="208"/>
      <c r="DN101" s="208"/>
      <c r="DO101" s="208"/>
      <c r="DP101" s="208"/>
      <c r="DQ101" s="208"/>
    </row>
    <row r="102" spans="115:121" s="125" customFormat="1" ht="12" customHeight="1">
      <c r="DK102" s="208"/>
      <c r="DL102" s="208"/>
      <c r="DM102" s="208"/>
      <c r="DN102" s="208"/>
      <c r="DO102" s="208"/>
      <c r="DP102" s="208"/>
      <c r="DQ102" s="208"/>
    </row>
    <row r="103" spans="115:121" s="125" customFormat="1" ht="12" customHeight="1">
      <c r="DK103" s="208"/>
      <c r="DL103" s="208"/>
      <c r="DM103" s="208"/>
      <c r="DN103" s="208"/>
      <c r="DO103" s="208"/>
      <c r="DP103" s="208"/>
      <c r="DQ103" s="208"/>
    </row>
    <row r="104" spans="115:121" s="125" customFormat="1" ht="12" customHeight="1">
      <c r="DK104" s="208"/>
      <c r="DL104" s="208"/>
      <c r="DM104" s="208"/>
      <c r="DN104" s="208"/>
      <c r="DO104" s="208"/>
      <c r="DP104" s="208"/>
      <c r="DQ104" s="208"/>
    </row>
    <row r="105" spans="115:121" s="125" customFormat="1" ht="12" customHeight="1">
      <c r="DK105" s="208"/>
      <c r="DL105" s="208"/>
      <c r="DM105" s="208"/>
      <c r="DN105" s="208"/>
      <c r="DO105" s="208"/>
      <c r="DP105" s="208"/>
      <c r="DQ105" s="208"/>
    </row>
    <row r="106" spans="115:121" s="125" customFormat="1" ht="12" customHeight="1">
      <c r="DK106" s="208"/>
      <c r="DL106" s="208"/>
      <c r="DM106" s="208"/>
      <c r="DN106" s="208"/>
      <c r="DO106" s="208"/>
      <c r="DP106" s="208"/>
      <c r="DQ106" s="208"/>
    </row>
    <row r="107" spans="115:121" s="125" customFormat="1" ht="12" customHeight="1">
      <c r="DK107" s="208"/>
      <c r="DL107" s="208"/>
      <c r="DM107" s="208"/>
      <c r="DN107" s="208"/>
      <c r="DO107" s="208"/>
      <c r="DP107" s="208"/>
      <c r="DQ107" s="208"/>
    </row>
    <row r="108" spans="115:121" s="125" customFormat="1" ht="12" customHeight="1">
      <c r="DK108" s="208"/>
      <c r="DL108" s="208"/>
      <c r="DM108" s="208"/>
      <c r="DN108" s="208"/>
      <c r="DO108" s="208"/>
      <c r="DP108" s="208"/>
      <c r="DQ108" s="208"/>
    </row>
    <row r="109" spans="115:121" s="125" customFormat="1" ht="12" customHeight="1">
      <c r="DK109" s="208"/>
      <c r="DL109" s="208"/>
      <c r="DM109" s="208"/>
      <c r="DN109" s="208"/>
      <c r="DO109" s="208"/>
      <c r="DP109" s="208"/>
      <c r="DQ109" s="208"/>
    </row>
    <row r="110" spans="115:121" s="125" customFormat="1" ht="12" customHeight="1">
      <c r="DK110" s="208"/>
      <c r="DL110" s="208"/>
      <c r="DM110" s="208"/>
      <c r="DN110" s="208"/>
      <c r="DO110" s="208"/>
      <c r="DP110" s="208"/>
      <c r="DQ110" s="208"/>
    </row>
    <row r="111" spans="115:121" s="125" customFormat="1" ht="12" customHeight="1">
      <c r="DK111" s="208"/>
      <c r="DL111" s="208"/>
      <c r="DM111" s="208"/>
      <c r="DN111" s="208"/>
      <c r="DO111" s="208"/>
      <c r="DP111" s="208"/>
      <c r="DQ111" s="208"/>
    </row>
    <row r="112" spans="115:121" s="125" customFormat="1" ht="12" customHeight="1">
      <c r="DK112" s="208"/>
      <c r="DL112" s="208"/>
      <c r="DM112" s="208"/>
      <c r="DN112" s="208"/>
      <c r="DO112" s="208"/>
      <c r="DP112" s="208"/>
      <c r="DQ112" s="208"/>
    </row>
    <row r="113" spans="115:121" s="125" customFormat="1" ht="12" customHeight="1">
      <c r="DK113" s="208"/>
      <c r="DL113" s="208"/>
      <c r="DM113" s="208"/>
      <c r="DN113" s="208"/>
      <c r="DO113" s="208"/>
      <c r="DP113" s="208"/>
      <c r="DQ113" s="208"/>
    </row>
    <row r="114" spans="115:121" s="125" customFormat="1" ht="12" customHeight="1">
      <c r="DK114" s="208"/>
      <c r="DL114" s="208"/>
      <c r="DM114" s="208"/>
      <c r="DN114" s="208"/>
      <c r="DO114" s="208"/>
      <c r="DP114" s="208"/>
      <c r="DQ114" s="208"/>
    </row>
    <row r="115" spans="115:121" s="125" customFormat="1" ht="12" customHeight="1">
      <c r="DK115" s="208"/>
      <c r="DL115" s="208"/>
      <c r="DM115" s="208"/>
      <c r="DN115" s="208"/>
      <c r="DO115" s="208"/>
      <c r="DP115" s="208"/>
      <c r="DQ115" s="208"/>
    </row>
    <row r="116" spans="115:121" s="125" customFormat="1" ht="12" customHeight="1">
      <c r="DK116" s="208"/>
      <c r="DL116" s="208"/>
      <c r="DM116" s="208"/>
      <c r="DN116" s="208"/>
      <c r="DO116" s="208"/>
      <c r="DP116" s="208"/>
      <c r="DQ116" s="208"/>
    </row>
    <row r="117" spans="115:121" s="125" customFormat="1" ht="12" customHeight="1">
      <c r="DK117" s="208"/>
      <c r="DL117" s="208"/>
      <c r="DM117" s="208"/>
      <c r="DN117" s="208"/>
      <c r="DO117" s="208"/>
      <c r="DP117" s="208"/>
      <c r="DQ117" s="208"/>
    </row>
    <row r="118" spans="115:121" s="125" customFormat="1" ht="12" customHeight="1">
      <c r="DK118" s="208"/>
      <c r="DL118" s="208"/>
      <c r="DM118" s="208"/>
      <c r="DN118" s="208"/>
      <c r="DO118" s="208"/>
      <c r="DP118" s="208"/>
      <c r="DQ118" s="208"/>
    </row>
    <row r="119" spans="115:121" s="125" customFormat="1" ht="12" customHeight="1">
      <c r="DK119" s="208"/>
      <c r="DL119" s="208"/>
      <c r="DM119" s="208"/>
      <c r="DN119" s="208"/>
      <c r="DO119" s="208"/>
      <c r="DP119" s="208"/>
      <c r="DQ119" s="208"/>
    </row>
    <row r="120" spans="115:121" s="125" customFormat="1" ht="12" customHeight="1" hidden="1">
      <c r="DK120" s="208"/>
      <c r="DL120" s="208"/>
      <c r="DM120" s="208"/>
      <c r="DN120" s="208"/>
      <c r="DO120" s="208"/>
      <c r="DP120" s="208"/>
      <c r="DQ120" s="208"/>
    </row>
    <row r="121" spans="3:121" s="125" customFormat="1" ht="12" customHeight="1" hidden="1">
      <c r="C121" s="125" t="s">
        <v>152</v>
      </c>
      <c r="F121" s="179">
        <v>0</v>
      </c>
      <c r="DK121" s="208"/>
      <c r="DL121" s="208"/>
      <c r="DM121" s="208"/>
      <c r="DN121" s="208"/>
      <c r="DO121" s="208"/>
      <c r="DP121" s="208"/>
      <c r="DQ121" s="208"/>
    </row>
    <row r="122" spans="3:121" s="125" customFormat="1" ht="12" customHeight="1" hidden="1">
      <c r="C122" s="125" t="s">
        <v>153</v>
      </c>
      <c r="F122" s="179">
        <v>0.1</v>
      </c>
      <c r="DK122" s="208"/>
      <c r="DL122" s="208"/>
      <c r="DM122" s="208"/>
      <c r="DN122" s="208"/>
      <c r="DO122" s="208"/>
      <c r="DP122" s="208"/>
      <c r="DQ122" s="208"/>
    </row>
    <row r="123" spans="3:121" s="125" customFormat="1" ht="12" customHeight="1" hidden="1">
      <c r="C123" s="125" t="s">
        <v>154</v>
      </c>
      <c r="F123" s="179">
        <v>0.2</v>
      </c>
      <c r="DK123" s="208"/>
      <c r="DL123" s="208"/>
      <c r="DM123" s="208"/>
      <c r="DN123" s="208"/>
      <c r="DO123" s="208"/>
      <c r="DP123" s="208"/>
      <c r="DQ123" s="208"/>
    </row>
    <row r="124" spans="3:121" s="125" customFormat="1" ht="12" customHeight="1" hidden="1">
      <c r="C124" s="125" t="s">
        <v>155</v>
      </c>
      <c r="F124" s="179">
        <v>0.24</v>
      </c>
      <c r="DK124" s="208"/>
      <c r="DL124" s="208"/>
      <c r="DM124" s="208"/>
      <c r="DN124" s="208"/>
      <c r="DO124" s="208"/>
      <c r="DP124" s="208"/>
      <c r="DQ124" s="208"/>
    </row>
    <row r="125" spans="3:121" s="125" customFormat="1" ht="12" customHeight="1" hidden="1">
      <c r="C125" s="125" t="s">
        <v>156</v>
      </c>
      <c r="F125" s="179">
        <v>0.18</v>
      </c>
      <c r="DK125" s="208"/>
      <c r="DL125" s="208"/>
      <c r="DM125" s="208"/>
      <c r="DN125" s="208"/>
      <c r="DO125" s="208"/>
      <c r="DP125" s="208"/>
      <c r="DQ125" s="208"/>
    </row>
    <row r="126" spans="3:121" s="125" customFormat="1" ht="12" customHeight="1" hidden="1">
      <c r="C126" s="125" t="s">
        <v>157</v>
      </c>
      <c r="F126" s="125" t="s">
        <v>163</v>
      </c>
      <c r="DK126" s="208"/>
      <c r="DL126" s="208"/>
      <c r="DM126" s="208"/>
      <c r="DN126" s="208"/>
      <c r="DO126" s="208"/>
      <c r="DP126" s="208"/>
      <c r="DQ126" s="208"/>
    </row>
    <row r="127" spans="3:121" s="125" customFormat="1" ht="12" customHeight="1" hidden="1">
      <c r="C127" s="125" t="s">
        <v>158</v>
      </c>
      <c r="DK127" s="208"/>
      <c r="DL127" s="208"/>
      <c r="DM127" s="208"/>
      <c r="DN127" s="208"/>
      <c r="DO127" s="208"/>
      <c r="DP127" s="208"/>
      <c r="DQ127" s="208"/>
    </row>
    <row r="128" spans="3:121" s="125" customFormat="1" ht="12" customHeight="1" hidden="1">
      <c r="C128" s="125" t="s">
        <v>159</v>
      </c>
      <c r="DK128" s="208"/>
      <c r="DL128" s="208"/>
      <c r="DM128" s="208"/>
      <c r="DN128" s="208"/>
      <c r="DO128" s="208"/>
      <c r="DP128" s="208"/>
      <c r="DQ128" s="208"/>
    </row>
    <row r="129" spans="3:121" s="125" customFormat="1" ht="12" customHeight="1" hidden="1">
      <c r="C129" s="125" t="s">
        <v>160</v>
      </c>
      <c r="DK129" s="208"/>
      <c r="DL129" s="208"/>
      <c r="DM129" s="208"/>
      <c r="DN129" s="208"/>
      <c r="DO129" s="208"/>
      <c r="DP129" s="208"/>
      <c r="DQ129" s="208"/>
    </row>
    <row r="130" spans="3:121" s="125" customFormat="1" ht="12" customHeight="1" hidden="1">
      <c r="C130" s="125" t="s">
        <v>161</v>
      </c>
      <c r="DK130" s="208"/>
      <c r="DL130" s="208"/>
      <c r="DM130" s="208"/>
      <c r="DN130" s="208"/>
      <c r="DO130" s="208"/>
      <c r="DP130" s="208"/>
      <c r="DQ130" s="208"/>
    </row>
    <row r="131" spans="3:121" s="125" customFormat="1" ht="12" customHeight="1" hidden="1">
      <c r="C131" s="125" t="s">
        <v>162</v>
      </c>
      <c r="DK131" s="208"/>
      <c r="DL131" s="208"/>
      <c r="DM131" s="208"/>
      <c r="DN131" s="208"/>
      <c r="DO131" s="208"/>
      <c r="DP131" s="208"/>
      <c r="DQ131" s="208"/>
    </row>
    <row r="132" s="125" customFormat="1" ht="12" customHeight="1" hidden="1"/>
    <row r="133" spans="38:49" s="164" customFormat="1" ht="12" customHeight="1" hidden="1">
      <c r="AL133" s="163"/>
      <c r="AM133" s="163"/>
      <c r="AN133" s="163"/>
      <c r="AO133" s="163">
        <f>IF(AP154&lt;64,0,IF(AO141&lt;=64,0,FIND(" ",AR155,64)))</f>
        <v>0</v>
      </c>
      <c r="AP133" s="163"/>
      <c r="AQ133" s="163"/>
      <c r="AR133" s="163"/>
      <c r="AS133" s="163"/>
      <c r="AT133" s="163"/>
      <c r="AU133" s="163"/>
      <c r="AV133" s="163"/>
      <c r="AW133" s="121"/>
    </row>
    <row r="134" spans="38:49" s="164" customFormat="1" ht="12" customHeight="1" hidden="1">
      <c r="AL134" s="163"/>
      <c r="AM134" s="163"/>
      <c r="AN134" s="163"/>
      <c r="AO134" s="163">
        <f>IF(AO138="","",IF(AO135&lt;=AO136,"",MID(AR155,AO136+1,43)))</f>
      </c>
      <c r="AP134" s="163"/>
      <c r="AQ134" s="163"/>
      <c r="AR134" s="163"/>
      <c r="AS134" s="163"/>
      <c r="AT134" s="163"/>
      <c r="AU134" s="163"/>
      <c r="AV134" s="163"/>
      <c r="AW134" s="121"/>
    </row>
    <row r="135" spans="38:49" s="164" customFormat="1" ht="12" customHeight="1" hidden="1">
      <c r="AL135" s="163"/>
      <c r="AM135" s="163"/>
      <c r="AN135" s="163"/>
      <c r="AO135" s="163">
        <f>LEN(AR155)</f>
        <v>46</v>
      </c>
      <c r="AP135" s="163"/>
      <c r="AQ135" s="163"/>
      <c r="AR135" s="163"/>
      <c r="AS135" s="163"/>
      <c r="AT135" s="163"/>
      <c r="AU135" s="163"/>
      <c r="AV135" s="163"/>
      <c r="AW135" s="121"/>
    </row>
    <row r="136" spans="38:49" s="164" customFormat="1" ht="12" customHeight="1" hidden="1">
      <c r="AL136" s="163"/>
      <c r="AM136" s="163"/>
      <c r="AN136" s="163"/>
      <c r="AO136" s="163">
        <f>LEN(AO140)+LEN(AO138)+1</f>
        <v>46</v>
      </c>
      <c r="AP136" s="163">
        <f>LEN(AO140)</f>
        <v>31</v>
      </c>
      <c r="AQ136" s="163"/>
      <c r="AR136" s="163"/>
      <c r="AS136" s="163"/>
      <c r="AT136" s="163"/>
      <c r="AU136" s="163"/>
      <c r="AV136" s="163"/>
      <c r="AW136" s="121"/>
    </row>
    <row r="137" spans="38:49" s="164" customFormat="1" ht="12" customHeight="1" hidden="1">
      <c r="AL137" s="163"/>
      <c r="AM137" s="163"/>
      <c r="AN137" s="163"/>
      <c r="AO137" s="163">
        <f>AO136-AO139</f>
        <v>14</v>
      </c>
      <c r="AP137" s="165"/>
      <c r="AQ137" s="163"/>
      <c r="AR137" s="163" t="s">
        <v>201</v>
      </c>
      <c r="AS137" s="163"/>
      <c r="AT137" s="163"/>
      <c r="AU137" s="163"/>
      <c r="AV137" s="163"/>
      <c r="AW137" s="121"/>
    </row>
    <row r="138" spans="38:49" s="164" customFormat="1" ht="12" customHeight="1" hidden="1">
      <c r="AL138" s="163"/>
      <c r="AM138" s="163">
        <f>IF(AM141&lt;=AM142,"",MID(AR155,AM139+1,100))</f>
      </c>
      <c r="AN138" s="163"/>
      <c r="AO138" s="163" t="str">
        <f>IF(AO141&lt;=AO142,"",IF(AO133=0,MID(AR155,AO139+1,39),MID(AR155,AO139+1,AO133-AO139)))</f>
        <v>девяносто пять</v>
      </c>
      <c r="AP138" s="165"/>
      <c r="AQ138" s="163"/>
      <c r="AR138" s="166">
        <f>INT(AS138)</f>
        <v>38695</v>
      </c>
      <c r="AS138" s="166">
        <f>ROUND(AG46,2)</f>
        <v>38695.44</v>
      </c>
      <c r="AT138" s="163"/>
      <c r="AU138" s="163"/>
      <c r="AV138" s="163"/>
      <c r="AW138" s="121"/>
    </row>
    <row r="139" spans="38:49" s="164" customFormat="1" ht="12" customHeight="1" hidden="1">
      <c r="AL139" s="163"/>
      <c r="AM139" s="163" t="e">
        <f>FIND(" ",AR155,45)</f>
        <v>#VALUE!</v>
      </c>
      <c r="AN139" s="163"/>
      <c r="AO139" s="163">
        <f>FIND(" ",AR155,25)</f>
        <v>32</v>
      </c>
      <c r="AP139" s="163"/>
      <c r="AQ139" s="163">
        <v>1</v>
      </c>
      <c r="AR139" s="167">
        <f>AR138-INT(AR138/10)*10</f>
        <v>5</v>
      </c>
      <c r="AS139" s="168">
        <f>ROUND((AS138-AR138)*100,0)</f>
        <v>44</v>
      </c>
      <c r="AT139" s="163"/>
      <c r="AU139" s="163"/>
      <c r="AV139" s="163"/>
      <c r="AW139" s="121"/>
    </row>
    <row r="140" spans="38:49" s="164" customFormat="1" ht="12" customHeight="1" hidden="1">
      <c r="AL140" s="163"/>
      <c r="AM140" s="163" t="str">
        <f>IF(AM141&gt;AM142,LEFT(AR155,AM139-1),LEFT(AR155,50))</f>
        <v> Тридцать восемь тысяч шестьсот девяносто пять</v>
      </c>
      <c r="AN140" s="163"/>
      <c r="AO140" s="163" t="str">
        <f>IF(AO141&gt;=AO142,LEFT(AR155,AO139-1),LEFT(AR155,30))</f>
        <v> Тридцать восемь тысяч шестьсот</v>
      </c>
      <c r="AP140" s="163"/>
      <c r="AQ140" s="163">
        <v>2</v>
      </c>
      <c r="AR140" s="169">
        <f>IF(AND(AR139+AR141&gt;=11,AR139+AR141&lt;=19),AR139+AR141,0)</f>
        <v>0</v>
      </c>
      <c r="AS140" s="169">
        <f>INT(AS139)</f>
        <v>44</v>
      </c>
      <c r="AT140" s="163"/>
      <c r="AU140" s="163"/>
      <c r="AV140" s="163"/>
      <c r="AW140" s="121"/>
    </row>
    <row r="141" spans="38:49" s="164" customFormat="1" ht="12" customHeight="1" hidden="1">
      <c r="AL141" s="163"/>
      <c r="AM141" s="163">
        <f>LEN(AR155)</f>
        <v>46</v>
      </c>
      <c r="AN141" s="163"/>
      <c r="AO141" s="163">
        <f>LEN(AR155)</f>
        <v>46</v>
      </c>
      <c r="AP141" s="165"/>
      <c r="AQ141" s="163">
        <v>3</v>
      </c>
      <c r="AR141" s="169">
        <f>AR138-INT(AR138/100)*100-AR139</f>
        <v>90</v>
      </c>
      <c r="AS141" s="169">
        <f>IF(AS140=0,"",AS140-INT(AS140/10)*10)</f>
        <v>4</v>
      </c>
      <c r="AT141" s="163"/>
      <c r="AU141" s="163"/>
      <c r="AV141" s="163"/>
      <c r="AW141" s="121"/>
    </row>
    <row r="142" spans="38:49" s="164" customFormat="1" ht="12" customHeight="1" hidden="1">
      <c r="AL142" s="163"/>
      <c r="AM142" s="163">
        <v>50</v>
      </c>
      <c r="AN142" s="163"/>
      <c r="AO142" s="163">
        <v>30</v>
      </c>
      <c r="AP142" s="165"/>
      <c r="AQ142" s="163">
        <v>4</v>
      </c>
      <c r="AR142" s="169">
        <f>AR138-INT(AR138/1000)*1000-AR141-AR139</f>
        <v>600</v>
      </c>
      <c r="AS142" s="170">
        <f>IF(AS140=0,"",AS140)</f>
        <v>44</v>
      </c>
      <c r="AT142" s="163">
        <v>0</v>
      </c>
      <c r="AU142" s="163" t="s">
        <v>164</v>
      </c>
      <c r="AV142" s="163"/>
      <c r="AW142" s="121"/>
    </row>
    <row r="143" spans="38:49" s="164" customFormat="1" ht="12" customHeight="1" hidden="1">
      <c r="AL143" s="163"/>
      <c r="AM143" s="163"/>
      <c r="AN143" s="163"/>
      <c r="AO143" s="163"/>
      <c r="AP143" s="163"/>
      <c r="AQ143" s="163">
        <v>5</v>
      </c>
      <c r="AR143" s="169">
        <f>AR138-INT(AR138/10000)*10000-AR141-AR139-AR142</f>
        <v>8000</v>
      </c>
      <c r="AS143" s="163">
        <f>AR143/1000</f>
        <v>8</v>
      </c>
      <c r="AT143" s="163"/>
      <c r="AU143" s="163"/>
      <c r="AV143" s="163"/>
      <c r="AW143" s="121"/>
    </row>
    <row r="144" spans="38:49" s="164" customFormat="1" ht="12" customHeight="1" hidden="1">
      <c r="AL144" s="163"/>
      <c r="AM144" s="163"/>
      <c r="AN144" s="163"/>
      <c r="AO144" s="163"/>
      <c r="AP144" s="163"/>
      <c r="AQ144" s="163">
        <v>6</v>
      </c>
      <c r="AR144" s="163"/>
      <c r="AS144" s="169">
        <f>IF(AND(AS143+AS145&gt;=11,AS143+AS145&lt;=19),AS143+AS145,0)</f>
        <v>0</v>
      </c>
      <c r="AT144" s="163"/>
      <c r="AU144" s="163"/>
      <c r="AV144" s="163"/>
      <c r="AW144" s="121"/>
    </row>
    <row r="145" spans="38:49" s="164" customFormat="1" ht="12" customHeight="1" hidden="1">
      <c r="AL145" s="163"/>
      <c r="AM145" s="163"/>
      <c r="AN145" s="163"/>
      <c r="AO145" s="163"/>
      <c r="AP145" s="163"/>
      <c r="AQ145" s="163">
        <v>7</v>
      </c>
      <c r="AR145" s="169">
        <f>AR138-INT(AR138/100000)*100000-AR141-AR139-AR142-AR143</f>
        <v>30000</v>
      </c>
      <c r="AS145" s="163">
        <f>AR145/1000</f>
        <v>30</v>
      </c>
      <c r="AT145" s="163"/>
      <c r="AU145" s="163"/>
      <c r="AV145" s="163"/>
      <c r="AW145" s="121"/>
    </row>
    <row r="146" spans="38:49" s="164" customFormat="1" ht="12" customHeight="1" hidden="1">
      <c r="AL146" s="163"/>
      <c r="AM146" s="163"/>
      <c r="AN146" s="163"/>
      <c r="AO146" s="163"/>
      <c r="AP146" s="163"/>
      <c r="AQ146" s="163">
        <v>8</v>
      </c>
      <c r="AR146" s="169">
        <f>AR138-INT(AR138/1000000)*1000000-AR141-AR139-AR142-AR143-AR145</f>
        <v>0</v>
      </c>
      <c r="AS146" s="163">
        <f>AR146/1000</f>
        <v>0</v>
      </c>
      <c r="AT146" s="163"/>
      <c r="AU146" s="163"/>
      <c r="AV146" s="163"/>
      <c r="AW146" s="121"/>
    </row>
    <row r="147" spans="38:49" s="164" customFormat="1" ht="12" customHeight="1" hidden="1">
      <c r="AL147" s="163"/>
      <c r="AM147" s="163"/>
      <c r="AN147" s="163"/>
      <c r="AO147" s="163"/>
      <c r="AP147" s="163"/>
      <c r="AQ147" s="163">
        <v>9</v>
      </c>
      <c r="AR147" s="169">
        <f>AR138-INT(AR138/10000000)*10000000-AR141-AR139-AR142-AR143-AR145-AR146</f>
        <v>0</v>
      </c>
      <c r="AS147" s="163">
        <f>AR147/1000000</f>
        <v>0</v>
      </c>
      <c r="AT147" s="163"/>
      <c r="AU147" s="163"/>
      <c r="AV147" s="163"/>
      <c r="AW147" s="121"/>
    </row>
    <row r="148" spans="38:49" s="164" customFormat="1" ht="12" customHeight="1" hidden="1">
      <c r="AL148" s="163"/>
      <c r="AM148" s="163"/>
      <c r="AN148" s="163"/>
      <c r="AO148" s="163"/>
      <c r="AP148" s="163"/>
      <c r="AQ148" s="163">
        <v>10</v>
      </c>
      <c r="AR148" s="163"/>
      <c r="AS148" s="169">
        <f>IF(AND(AS147+AS149&gt;=11,AS147+AS149&lt;=19),AS147+AS149,0)</f>
        <v>0</v>
      </c>
      <c r="AT148" s="163"/>
      <c r="AU148" s="163"/>
      <c r="AV148" s="163"/>
      <c r="AW148" s="121"/>
    </row>
    <row r="149" spans="38:49" s="164" customFormat="1" ht="12" customHeight="1" hidden="1">
      <c r="AL149" s="163"/>
      <c r="AM149" s="163"/>
      <c r="AN149" s="163"/>
      <c r="AO149" s="163"/>
      <c r="AP149" s="163"/>
      <c r="AQ149" s="163">
        <v>11</v>
      </c>
      <c r="AR149" s="169">
        <f>AR138-INT(AR138/100000000)*100000000-AR141-AR139-AR142-AR143-AR145-AR146-AR147</f>
        <v>0</v>
      </c>
      <c r="AS149" s="163">
        <f>AR149/1000000</f>
        <v>0</v>
      </c>
      <c r="AT149" s="163"/>
      <c r="AU149" s="163"/>
      <c r="AV149" s="163"/>
      <c r="AW149" s="121"/>
    </row>
    <row r="150" spans="38:49" s="164" customFormat="1" ht="12" customHeight="1" hidden="1">
      <c r="AL150" s="163"/>
      <c r="AM150" s="163"/>
      <c r="AN150" s="163"/>
      <c r="AO150" s="163"/>
      <c r="AP150" s="163"/>
      <c r="AQ150" s="163">
        <v>12</v>
      </c>
      <c r="AR150" s="169">
        <f>AR138-INT(AR138/1000000000)*1000000000-AR141-AR139-AR142-AR143-AR145-AR146-AR147-AR149</f>
        <v>0</v>
      </c>
      <c r="AS150" s="163">
        <f>AR150/1000000</f>
        <v>0</v>
      </c>
      <c r="AT150" s="163"/>
      <c r="AU150" s="163"/>
      <c r="AV150" s="163"/>
      <c r="AW150" s="121"/>
    </row>
    <row r="151" spans="38:49" s="164" customFormat="1" ht="12" customHeight="1" hidden="1">
      <c r="AL151" s="163"/>
      <c r="AM151" s="163"/>
      <c r="AN151" s="163"/>
      <c r="AO151" s="163"/>
      <c r="AP151" s="163"/>
      <c r="AQ151" s="163">
        <v>13</v>
      </c>
      <c r="AR151" s="169">
        <f>AR138-INT(AR138/10000000000)*10000000000-AR141-AR139-AR142-AR143-AR145-AR146-AR147-AR149-AR150</f>
        <v>0</v>
      </c>
      <c r="AS151" s="163">
        <f>AR151/1000000000</f>
        <v>0</v>
      </c>
      <c r="AT151" s="163"/>
      <c r="AU151" s="163"/>
      <c r="AV151" s="163"/>
      <c r="AW151" s="121"/>
    </row>
    <row r="152" spans="38:49" s="164" customFormat="1" ht="12" customHeight="1" hidden="1">
      <c r="AL152" s="163"/>
      <c r="AM152" s="163"/>
      <c r="AN152" s="163"/>
      <c r="AO152" s="163"/>
      <c r="AP152" s="163"/>
      <c r="AQ152" s="163">
        <v>14</v>
      </c>
      <c r="AR152" s="169"/>
      <c r="AS152" s="169">
        <f>IF(AND(AS151+AS153&gt;=11,AS151+AS153&lt;=19),AS151+AS153,0)</f>
        <v>0</v>
      </c>
      <c r="AT152" s="163"/>
      <c r="AU152" s="163"/>
      <c r="AV152" s="163"/>
      <c r="AW152" s="121"/>
    </row>
    <row r="153" spans="38:49" s="164" customFormat="1" ht="12" customHeight="1" hidden="1">
      <c r="AL153" s="163"/>
      <c r="AM153" s="163"/>
      <c r="AN153" s="163"/>
      <c r="AO153" s="163"/>
      <c r="AP153" s="163"/>
      <c r="AQ153" s="163">
        <v>15</v>
      </c>
      <c r="AR153" s="169">
        <f>AR138-INT(AR138/100000000000)*100000000000-AR141-AR139-AR142-AR143-AR145-AR146-AR147-AR149-AR150-AR151</f>
        <v>0</v>
      </c>
      <c r="AS153" s="163">
        <f>AR153/1000000000</f>
        <v>0</v>
      </c>
      <c r="AT153" s="163"/>
      <c r="AU153" s="163"/>
      <c r="AV153" s="163"/>
      <c r="AW153" s="121"/>
    </row>
    <row r="154" spans="38:49" s="164" customFormat="1" ht="12" customHeight="1" hidden="1">
      <c r="AL154" s="163"/>
      <c r="AM154" s="163"/>
      <c r="AN154" s="163"/>
      <c r="AO154" s="163"/>
      <c r="AP154" s="163">
        <f>SEARCH("@",SUBSTITUTE(AR155," ","@",LEN(AR155)-LEN(SUBSTITUTE(AR155," ",""))))</f>
        <v>42</v>
      </c>
      <c r="AQ154" s="163">
        <v>16</v>
      </c>
      <c r="AR154" s="169">
        <f>AR138-INT(AR138/1000000000000)*1000000000000-AR141-AR139-AR142-AR143-AR145-AR146-AR147-AR149-AR150-AR151-AR153</f>
        <v>0</v>
      </c>
      <c r="AS154" s="163">
        <f>AR154/1000000000</f>
        <v>0</v>
      </c>
      <c r="AT154" s="163"/>
      <c r="AU154" s="163"/>
      <c r="AV154" s="163"/>
      <c r="AW154" s="121"/>
    </row>
    <row r="155" spans="38:49" s="164" customFormat="1" ht="12" customHeight="1" hidden="1">
      <c r="AL155" s="163"/>
      <c r="AM155" s="163"/>
      <c r="AN155" s="163"/>
      <c r="AO155" s="163"/>
      <c r="AP155" s="163"/>
      <c r="AQ155" s="163"/>
      <c r="AR155" s="171" t="str">
        <f>IF(AS138=0,"",AP171&amp;AP170&amp;AP169&amp;AP168&amp;AU168&amp;AP167&amp;AP166&amp;AP165&amp;AP164&amp;AU164&amp;AP163&amp;AP162&amp;AP161&amp;AP160&amp;AU160&amp;AP159&amp;AP158&amp;AP157&amp;AP156)</f>
        <v> Тридцать восемь тысяч шестьсот девяносто пять</v>
      </c>
      <c r="AS155" s="163"/>
      <c r="AT155" s="163"/>
      <c r="AU155" s="163"/>
      <c r="AV155" s="163"/>
      <c r="AW155" s="121"/>
    </row>
    <row r="156" spans="38:49" s="164" customFormat="1" ht="12" customHeight="1" hidden="1">
      <c r="AL156" s="163" t="s">
        <v>165</v>
      </c>
      <c r="AM156" s="172">
        <f>IF(AR140&gt;0,"",IF(AR139=1,AN156,""))</f>
      </c>
      <c r="AN156" s="173" t="s">
        <v>166</v>
      </c>
      <c r="AO156" s="163"/>
      <c r="AP156" s="163" t="str">
        <f>IF(SUM(AR140:AR154)=0,PROPER(AR156),AR156)</f>
        <v> пять</v>
      </c>
      <c r="AQ156" s="163">
        <v>1</v>
      </c>
      <c r="AR156" s="171" t="str">
        <f>IF(AND(AR140&lt;20,AR140&gt;10),"",AS156&amp;AT156)</f>
        <v> пять</v>
      </c>
      <c r="AS156" s="163" t="str">
        <f>IF(AR139=1," один",IF(AR139=2," два",IF(AR139=3," три",IF(AR139=4," четыре",IF(AR139=5," пять",IF(AR139=6," шесть",IF(AR139=7," семь","")))))))</f>
        <v> пять</v>
      </c>
      <c r="AT156" s="163">
        <f>IF(AR139=8," восемь",IF(AR139=9," девять",""))</f>
      </c>
      <c r="AU156" s="163"/>
      <c r="AV156" s="163"/>
      <c r="AW156" s="121"/>
    </row>
    <row r="157" spans="38:49" s="164" customFormat="1" ht="12" customHeight="1" hidden="1">
      <c r="AL157" s="163" t="s">
        <v>167</v>
      </c>
      <c r="AM157" s="174">
        <f>IF(AR140&gt;0,"",IF(OR(AR139=2,AR139=3,AR139=4),AN157,""))</f>
      </c>
      <c r="AN157" s="175" t="s">
        <v>168</v>
      </c>
      <c r="AO157" s="163"/>
      <c r="AP157" s="163">
        <f>IF(SUM(AR142:AR154)=0,PROPER(AR157),AR157)</f>
      </c>
      <c r="AQ157" s="163">
        <v>2</v>
      </c>
      <c r="AR157" s="171">
        <f>AS157&amp;AT157</f>
      </c>
      <c r="AS157" s="163">
        <f>IF(AR140=11," одиннадцать",IF(AR140=12," двенадцать",IF(AR140=13," тринадцать",IF(AR140=14," четырнадцать",IF(AR140=15," пятнадцать",IF(AR140=16," шестнадцать",IF(AR140=17," семнадцать","")))))))</f>
      </c>
      <c r="AT157" s="163">
        <f>IF(AR140=18," восемнадцать",IF(AR140=19," девятнадцать",""))</f>
      </c>
      <c r="AU157" s="163"/>
      <c r="AV157" s="163"/>
      <c r="AW157" s="121"/>
    </row>
    <row r="158" spans="38:49" s="164" customFormat="1" ht="12" customHeight="1" hidden="1">
      <c r="AL158" s="163" t="s">
        <v>169</v>
      </c>
      <c r="AM158" s="174" t="str">
        <f>IF(AR140&gt;0,"",IF(OR(AR139=0,AR139=5,AR139=6,AR139=7,AR139=8,AR139=9),AN158,""))</f>
        <v> белорусских рублей </v>
      </c>
      <c r="AN158" s="175" t="s">
        <v>170</v>
      </c>
      <c r="AO158" s="163"/>
      <c r="AP158" s="163" t="str">
        <f>IF(SUM(AR142:AR154)=0,PROPER(AR158),AR158)</f>
        <v> девяносто</v>
      </c>
      <c r="AQ158" s="163">
        <v>3</v>
      </c>
      <c r="AR158" s="171" t="str">
        <f>IF(AND(AR140&lt;20,AR140&gt;10),"",AS158&amp;AT158)</f>
        <v> девяносто</v>
      </c>
      <c r="AS158" s="163">
        <f>IF(AR141=10," десять",IF(AR141=20," двадцать",IF(AR141=30," тридцать",IF(AR141=40," сорок",IF(AR141=50," пятьдесят",IF(AR141=60," шестьдесят",""))))))</f>
      </c>
      <c r="AT158" s="163" t="str">
        <f>IF(AR141=70," семьдесят",IF(AR141=80," восемьдесят",IF(AR141=90," девяносто","")))</f>
        <v> девяносто</v>
      </c>
      <c r="AU158" s="163"/>
      <c r="AV158" s="163"/>
      <c r="AW158" s="121"/>
    </row>
    <row r="159" spans="38:49" s="164" customFormat="1" ht="12" customHeight="1" hidden="1">
      <c r="AL159" s="163"/>
      <c r="AM159" s="163">
        <f>IF(AND(AR140&gt;=11,AR140&lt;=19),AN158,"")</f>
      </c>
      <c r="AN159" s="175"/>
      <c r="AO159" s="163"/>
      <c r="AP159" s="163" t="str">
        <f>IF(SUM(AS143:AS154)=0,PROPER(AR159),AR159)</f>
        <v> шестьсот</v>
      </c>
      <c r="AQ159" s="163">
        <v>4</v>
      </c>
      <c r="AR159" s="171" t="str">
        <f>AS159&amp;AT159</f>
        <v> шестьсот</v>
      </c>
      <c r="AS159" s="163" t="str">
        <f>IF(AR142=100," сто",IF(AR142=200," двести",IF(AR142=300," триста",IF(AR142=400," четыреста",IF(AR142=500," пятьсот",IF(AR142=600," шестьсот",""))))))</f>
        <v> шестьсот</v>
      </c>
      <c r="AT159" s="163">
        <f>IF(AR142=700," семьсот",IF(AR142=800," восемьсот",IF(AR142=900," девятьсот","")))</f>
      </c>
      <c r="AU159" s="163"/>
      <c r="AV159" s="163"/>
      <c r="AW159" s="121"/>
    </row>
    <row r="160" spans="38:49" s="164" customFormat="1" ht="12" customHeight="1" hidden="1">
      <c r="AL160" s="163"/>
      <c r="AM160" s="173" t="str">
        <f>AM156&amp;AM157&amp;AM158&amp;AM159</f>
        <v> белорусских рублей </v>
      </c>
      <c r="AN160" s="173"/>
      <c r="AO160" s="163"/>
      <c r="AP160" s="163" t="str">
        <f>IF(SUM(AS144:AS154)=0,PROPER(AR160),AR160)</f>
        <v> восемь</v>
      </c>
      <c r="AQ160" s="163">
        <v>5</v>
      </c>
      <c r="AR160" s="171" t="str">
        <f>IF(AND(AS144&lt;20,AS144&gt;10),"",AS160&amp;AT160)</f>
        <v> восемь</v>
      </c>
      <c r="AS160" s="163">
        <f>IF(AS143=1," одна",IF(AS143=2," две",IF(AS143=3," три",IF(AS143=4," четыре",IF(AS143=5," пять",IF(AS143=6," шесть",IF(AS143=7," семь","")))))))</f>
      </c>
      <c r="AT160" s="163" t="str">
        <f>IF(AS143=8," восемь",IF(AS143=9," девять",""))</f>
        <v> восемь</v>
      </c>
      <c r="AU160" s="163" t="str">
        <f>IF(AND(AR160="",AR161="",AR162="",AR163=""),"",IF(AND(AS144&lt;20,AS144&gt;10)," тысяч",IF(AS143=1," тысяча",IF(OR(AS143=2,AS143=3,AS143=4)," тысячи"," тысяч"))))</f>
        <v> тысяч</v>
      </c>
      <c r="AV160" s="163"/>
      <c r="AW160" s="121"/>
    </row>
    <row r="161" spans="38:49" s="164" customFormat="1" ht="12" customHeight="1" hidden="1">
      <c r="AL161" s="163"/>
      <c r="AM161" s="172"/>
      <c r="AN161" s="173"/>
      <c r="AO161" s="163"/>
      <c r="AP161" s="163">
        <f>IF(SUM(AS146:AS154)=0,PROPER(AR161),AR161)</f>
      </c>
      <c r="AQ161" s="163">
        <v>6</v>
      </c>
      <c r="AR161" s="171">
        <f>AS161&amp;AT161</f>
      </c>
      <c r="AS161" s="163">
        <f>IF(AS144=11," одиннадцать",IF(AS144=12," двенадцать",IF(AS144=13," тринадцать",IF(AS144=14," четырнадцать",IF(AS144=15," пятнадцать",IF(AS144=16," шестнадцать",IF(AS144=17," семнадцать","")))))))</f>
      </c>
      <c r="AT161" s="163">
        <f>IF(AS144=18," восемнадцать",IF(AS144=19," девятнадцать",""))</f>
      </c>
      <c r="AU161" s="163"/>
      <c r="AV161" s="163"/>
      <c r="AW161" s="121"/>
    </row>
    <row r="162" spans="38:49" s="164" customFormat="1" ht="12" customHeight="1" hidden="1">
      <c r="AL162" s="163"/>
      <c r="AM162" s="163"/>
      <c r="AN162" s="163"/>
      <c r="AO162" s="163"/>
      <c r="AP162" s="163" t="str">
        <f>IF(SUM(AS146:AS154)=0,PROPER(AR162),AR162)</f>
        <v> Тридцать</v>
      </c>
      <c r="AQ162" s="163">
        <v>7</v>
      </c>
      <c r="AR162" s="171" t="str">
        <f>IF(AND(AS144&lt;20,AS144&gt;10),"",AS162&amp;AT162)</f>
        <v> тридцать</v>
      </c>
      <c r="AS162" s="163" t="str">
        <f>IF(AS145=10," десять",IF(AS145=20," двадцать",IF(AS145=30," тридцать",IF(AS145=40," сорок",IF(AS145=50," пятьдесят",IF(AS145=60," шестьдесят",""))))))</f>
        <v> тридцать</v>
      </c>
      <c r="AT162" s="163">
        <f>IF(AS145=70," семьдесят",IF(AS145=80," восемьдесят",IF(AS145=90," девяносто","")))</f>
      </c>
      <c r="AU162" s="163"/>
      <c r="AV162" s="163"/>
      <c r="AW162" s="121"/>
    </row>
    <row r="163" spans="38:49" s="164" customFormat="1" ht="12" customHeight="1" hidden="1">
      <c r="AL163" s="163"/>
      <c r="AM163" s="163"/>
      <c r="AN163" s="163"/>
      <c r="AO163" s="163"/>
      <c r="AP163" s="163">
        <f>IF(SUM(AS147:AS154)=0,PROPER(AR163),AR163)</f>
      </c>
      <c r="AQ163" s="163">
        <v>8</v>
      </c>
      <c r="AR163" s="171">
        <f>AS163&amp;AT163</f>
      </c>
      <c r="AS163" s="163">
        <f>IF(AS146=100," сто",IF(AS146=200," двести",IF(AS146=300," триста",IF(AS146=400," четыреста",IF(AS146=500," пятьсот",IF(AS146=600," шестьсот",""))))))</f>
      </c>
      <c r="AT163" s="163">
        <f>IF(AS146=700," семьсот",IF(AS146=800," восемьсот",IF(AS146=900," девятьсот","")))</f>
      </c>
      <c r="AU163" s="163"/>
      <c r="AV163" s="163"/>
      <c r="AW163" s="121"/>
    </row>
    <row r="164" spans="38:49" s="164" customFormat="1" ht="12" customHeight="1" hidden="1">
      <c r="AL164" s="163"/>
      <c r="AM164" s="163"/>
      <c r="AN164" s="163"/>
      <c r="AO164" s="163"/>
      <c r="AP164" s="163">
        <f>IF(SUM(AS148:AS154)=0,PROPER(AR164),AR164)</f>
      </c>
      <c r="AQ164" s="163">
        <v>9</v>
      </c>
      <c r="AR164" s="171">
        <f>IF(AND(AS148&lt;20,AS148&gt;10),"",AS164&amp;AT164)</f>
      </c>
      <c r="AS164" s="163">
        <f>IF(AS147=1," один",IF(AS147=2," два",IF(AS147=3," три",IF(AS147=4," четыре",IF(AS147=5," пять",IF(AS147=6," шесть",IF(AS147=7," семь","")))))))</f>
      </c>
      <c r="AT164" s="163">
        <f>IF(AS147=8," восемь",IF(AS147=9," девять",""))</f>
      </c>
      <c r="AU164" s="163">
        <f>IF(AND(AR164="",AR165="",AR166="",AR167=""),"",IF(AND(AS148&lt;20,AS148&gt;10)," миллионов",IF(AS147=1," миллион",IF(OR(AS147=2,AS147=3,AS147=4)," миллиона"," миллионов"))))</f>
      </c>
      <c r="AV164" s="163"/>
      <c r="AW164" s="121"/>
    </row>
    <row r="165" spans="38:49" s="164" customFormat="1" ht="12" customHeight="1" hidden="1">
      <c r="AL165" s="163"/>
      <c r="AM165" s="163"/>
      <c r="AN165" s="163"/>
      <c r="AO165" s="163"/>
      <c r="AP165" s="163">
        <f>IF(SUM(AS150:AS154)=0,PROPER(AR165),AR165)</f>
      </c>
      <c r="AQ165" s="163">
        <v>10</v>
      </c>
      <c r="AR165" s="171">
        <f>AS165&amp;AT165</f>
      </c>
      <c r="AS165" s="163">
        <f>IF(AS148=11," одиннадцать",IF(AS148=12," двенадцать",IF(AS148=13," тринадцать",IF(AS148=14," четырнадцать",IF(AS148=15," пятнадцать",IF(AS148=16," шестнадцать",IF(AS148=17," семнадцать","")))))))</f>
      </c>
      <c r="AT165" s="163">
        <f>IF(AS148=18," восемнадцать",IF(AS148=19," девятнадцать",""))</f>
      </c>
      <c r="AU165" s="163"/>
      <c r="AV165" s="163"/>
      <c r="AW165" s="121"/>
    </row>
    <row r="166" spans="38:49" s="164" customFormat="1" ht="12" customHeight="1" hidden="1">
      <c r="AL166" s="163"/>
      <c r="AM166" s="163"/>
      <c r="AN166" s="163"/>
      <c r="AO166" s="163"/>
      <c r="AP166" s="163">
        <f>IF(SUM(AS150:AS154)=0,PROPER(AR166),AR166)</f>
      </c>
      <c r="AQ166" s="163">
        <v>11</v>
      </c>
      <c r="AR166" s="171">
        <f>IF(AND(AS148&lt;20,AS148&gt;10),"",AS166&amp;AT166)</f>
      </c>
      <c r="AS166" s="163">
        <f>IF(AS149=10," десять",IF(AS149=20," двадцать",IF(AS149=30," тридцать",IF(AS149=40," сорок",IF(AS149=50," пятьдесят",IF(AS149=60," шестьдесят",""))))))</f>
      </c>
      <c r="AT166" s="163">
        <f>IF(AS149=70," семьдесят",IF(AS149=80," восемьдесят",IF(AS149=90," девяносто","")))</f>
      </c>
      <c r="AU166" s="163"/>
      <c r="AV166" s="163"/>
      <c r="AW166" s="121"/>
    </row>
    <row r="167" spans="38:49" s="164" customFormat="1" ht="12" customHeight="1" hidden="1">
      <c r="AL167" s="163"/>
      <c r="AM167" s="163"/>
      <c r="AN167" s="163"/>
      <c r="AO167" s="163"/>
      <c r="AP167" s="163">
        <f>IF(SUM(AS151:AS154)=0,PROPER(AR167),AR167)</f>
      </c>
      <c r="AQ167" s="163">
        <v>12</v>
      </c>
      <c r="AR167" s="171">
        <f>AS167&amp;AT167</f>
      </c>
      <c r="AS167" s="163">
        <f>IF(AS150=100," сто",IF(AS150=200," двести",IF(AS150=300," триста",IF(AS150=400," четыреста",IF(AS150=500," пятьсот",IF(AS150=600," шестьсот",""))))))</f>
      </c>
      <c r="AT167" s="163">
        <f>IF(AS150=700," семьсот",IF(AS150=800," восемьсот",IF(AS150=900," девятьсот","")))</f>
      </c>
      <c r="AU167" s="163"/>
      <c r="AV167" s="163"/>
      <c r="AW167" s="121"/>
    </row>
    <row r="168" spans="38:49" s="164" customFormat="1" ht="12" customHeight="1" hidden="1">
      <c r="AL168" s="163"/>
      <c r="AM168" s="163"/>
      <c r="AN168" s="163"/>
      <c r="AO168" s="163"/>
      <c r="AP168" s="163">
        <f>IF(SUM(AS152:AS154)=0,PROPER(AR168),AR168)</f>
      </c>
      <c r="AQ168" s="163">
        <v>13</v>
      </c>
      <c r="AR168" s="171">
        <f>IF(AND(AS152&lt;20,AS152&gt;10),"",AS168&amp;AT168)</f>
      </c>
      <c r="AS168" s="163">
        <f>IF(AS151=1," один",IF(AS151=2," два",IF(AS151=3," три",IF(AS151=4," четыре",IF(AS151=5," пять",IF(AS151=6," шесть",IF(AS151=7," семь","")))))))</f>
      </c>
      <c r="AT168" s="163">
        <f>IF(AS151=8," восемь",IF(AS151=9," девять",""))</f>
      </c>
      <c r="AU168" s="163">
        <f>IF(AND(AR168="",AR169="",AR170="",AR171=""),"",IF(AND(AS152&lt;20,AS152&gt;10)," миллиардов",IF(AS151=1," миллиард",IF(OR(AS151=2,AS151=3,AS151=4)," миллиарда"," миллиардов"))))</f>
      </c>
      <c r="AV168" s="163"/>
      <c r="AW168" s="121"/>
    </row>
    <row r="169" spans="38:49" s="164" customFormat="1" ht="12" customHeight="1" hidden="1">
      <c r="AL169" s="163"/>
      <c r="AM169" s="163"/>
      <c r="AN169" s="163"/>
      <c r="AO169" s="163"/>
      <c r="AP169" s="163">
        <f>IF(AS154=0,PROPER(AR169),AR169)</f>
      </c>
      <c r="AQ169" s="163">
        <v>14</v>
      </c>
      <c r="AR169" s="171">
        <f>AS169&amp;AT169</f>
      </c>
      <c r="AS169" s="163">
        <f>IF(AS152=11," одиннадцать",IF(AS152=12," двенадцать",IF(AS152=13," тринадцать",IF(AS152=14," четырнадцать",IF(AS152=15," пятнадцать",IF(AS152=16," шестнадцать",IF(AS152=17," семнадцать","")))))))</f>
      </c>
      <c r="AT169" s="163">
        <f>IF(AS152=18," восемнадцать",IF(AS152=19," девятнадцать",""))</f>
      </c>
      <c r="AU169" s="163"/>
      <c r="AV169" s="163"/>
      <c r="AW169" s="121"/>
    </row>
    <row r="170" spans="38:49" s="164" customFormat="1" ht="12" customHeight="1" hidden="1">
      <c r="AL170" s="163"/>
      <c r="AM170" s="163"/>
      <c r="AN170" s="163"/>
      <c r="AO170" s="163"/>
      <c r="AP170" s="163">
        <f>IF(SUM(AS154)=0,PROPER(AR170),AR170)</f>
      </c>
      <c r="AQ170" s="163">
        <v>15</v>
      </c>
      <c r="AR170" s="171">
        <f>IF(AND(AS152&lt;20,AS152&gt;10),"",AS170&amp;AT170)</f>
      </c>
      <c r="AS170" s="163">
        <f>IF(AS153=10," десять",IF(AS153=20," двадцать",IF(AS153=30," тридцать",IF(AS153=40," сорок",IF(AS153=50," пятьдесят",IF(AS153=60," шестьдесят",""))))))</f>
      </c>
      <c r="AT170" s="163">
        <f>IF(AS153=70," семьдесят",IF(AS153=80," восемьдесят",IF(AS153=90," девяносто","")))</f>
      </c>
      <c r="AU170" s="163"/>
      <c r="AV170" s="163"/>
      <c r="AW170" s="121"/>
    </row>
    <row r="171" spans="38:49" s="164" customFormat="1" ht="12" customHeight="1" hidden="1">
      <c r="AL171" s="163"/>
      <c r="AM171" s="163"/>
      <c r="AN171" s="163"/>
      <c r="AO171" s="163"/>
      <c r="AP171" s="163">
        <f>PROPER(AR171)</f>
      </c>
      <c r="AQ171" s="163">
        <v>16</v>
      </c>
      <c r="AR171" s="171">
        <f>AS171&amp;AT171</f>
      </c>
      <c r="AS171" s="163">
        <f>IF(AS154=100," сто",IF(AS154=200," двести",IF(AS154=300," триста",IF(AS154=400," четыреста",IF(AS154=500," пятьсот",IF(AS154=600," шестьсот",""))))))</f>
      </c>
      <c r="AT171" s="163">
        <f>IF(AS154=700," семьсот",IF(AS154=800," восемьсот",IF(AS154=900," девятьсот","")))</f>
      </c>
      <c r="AU171" s="163"/>
      <c r="AV171" s="163"/>
      <c r="AW171" s="121"/>
    </row>
    <row r="172" spans="38:49" s="164" customFormat="1" ht="12" customHeight="1" hidden="1"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21"/>
    </row>
    <row r="173" spans="38:49" s="164" customFormat="1" ht="12" customHeight="1" hidden="1"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21"/>
    </row>
    <row r="174" spans="38:49" s="164" customFormat="1" ht="12" customHeight="1" hidden="1"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21"/>
    </row>
    <row r="175" spans="38:49" s="164" customFormat="1" ht="12" customHeight="1" hidden="1">
      <c r="AL175" s="176"/>
      <c r="AM175" s="176"/>
      <c r="AN175" s="176"/>
      <c r="AO175" s="176"/>
      <c r="AP175" s="176"/>
      <c r="AQ175" s="176"/>
      <c r="AR175" s="176"/>
      <c r="AS175" s="176"/>
      <c r="AT175" s="176"/>
      <c r="AU175" s="176"/>
      <c r="AV175" s="176"/>
      <c r="AW175" s="177"/>
    </row>
    <row r="176" spans="38:49" s="164" customFormat="1" ht="12" customHeight="1" hidden="1">
      <c r="AL176" s="176"/>
      <c r="AM176" s="176"/>
      <c r="AN176" s="176"/>
      <c r="AO176" s="176"/>
      <c r="AP176" s="176"/>
      <c r="AQ176" s="176"/>
      <c r="AR176" s="176"/>
      <c r="AS176" s="176"/>
      <c r="AT176" s="176"/>
      <c r="AU176" s="176"/>
      <c r="AV176" s="176"/>
      <c r="AW176" s="177"/>
    </row>
    <row r="177" spans="38:49" s="164" customFormat="1" ht="12" customHeight="1" hidden="1"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176"/>
      <c r="AW177" s="177"/>
    </row>
    <row r="178" spans="64:67" s="125" customFormat="1" ht="12" customHeight="1" hidden="1">
      <c r="BL178" s="120"/>
      <c r="BM178" s="120"/>
      <c r="BN178" s="120"/>
      <c r="BO178" s="120"/>
    </row>
    <row r="179" spans="64:67" s="125" customFormat="1" ht="12" customHeight="1" hidden="1">
      <c r="BL179" s="120"/>
      <c r="BM179" s="120"/>
      <c r="BN179" s="120"/>
      <c r="BO179" s="120"/>
    </row>
    <row r="180" spans="38:49" s="164" customFormat="1" ht="12" customHeight="1" hidden="1">
      <c r="AL180" s="163"/>
      <c r="AM180" s="163"/>
      <c r="AN180" s="163"/>
      <c r="AO180" s="163">
        <f>IF(AP201&lt;64,0,IF(AO188&lt;=64,0,FIND(" ",AR202,64)))</f>
        <v>0</v>
      </c>
      <c r="AP180" s="163"/>
      <c r="AQ180" s="163"/>
      <c r="AR180" s="163"/>
      <c r="AS180" s="163"/>
      <c r="AT180" s="163"/>
      <c r="AU180" s="163"/>
      <c r="AV180" s="163"/>
      <c r="AW180" s="121"/>
    </row>
    <row r="181" spans="38:49" s="164" customFormat="1" ht="12" customHeight="1" hidden="1">
      <c r="AL181" s="163"/>
      <c r="AM181" s="163"/>
      <c r="AN181" s="163"/>
      <c r="AO181" s="163">
        <f>IF(AO185="","",IF(AO182&lt;=AO183,"",MID(AR202,AO183+1,43)))</f>
      </c>
      <c r="AP181" s="163"/>
      <c r="AQ181" s="163"/>
      <c r="AR181" s="163"/>
      <c r="AS181" s="163"/>
      <c r="AT181" s="163"/>
      <c r="AU181" s="163"/>
      <c r="AV181" s="163"/>
      <c r="AW181" s="121"/>
    </row>
    <row r="182" spans="38:49" s="164" customFormat="1" ht="12" customHeight="1" hidden="1">
      <c r="AL182" s="163"/>
      <c r="AM182" s="163"/>
      <c r="AN182" s="163"/>
      <c r="AO182" s="163">
        <f>LEN(AR202)</f>
        <v>45</v>
      </c>
      <c r="AP182" s="163"/>
      <c r="AQ182" s="163"/>
      <c r="AR182" s="163"/>
      <c r="AS182" s="163"/>
      <c r="AT182" s="163"/>
      <c r="AU182" s="163"/>
      <c r="AV182" s="163"/>
      <c r="AW182" s="121"/>
    </row>
    <row r="183" spans="38:49" s="164" customFormat="1" ht="12" customHeight="1" hidden="1">
      <c r="AL183" s="163"/>
      <c r="AM183" s="163"/>
      <c r="AN183" s="163"/>
      <c r="AO183" s="163">
        <f>LEN(AO187)+LEN(AO185)+1</f>
        <v>45</v>
      </c>
      <c r="AP183" s="163">
        <f>LEN(AO187)</f>
        <v>27</v>
      </c>
      <c r="AQ183" s="163"/>
      <c r="AR183" s="163"/>
      <c r="AS183" s="163"/>
      <c r="AT183" s="163"/>
      <c r="AU183" s="163"/>
      <c r="AV183" s="163"/>
      <c r="AW183" s="121"/>
    </row>
    <row r="184" spans="38:49" s="164" customFormat="1" ht="12" customHeight="1" hidden="1">
      <c r="AL184" s="163"/>
      <c r="AM184" s="163"/>
      <c r="AN184" s="163"/>
      <c r="AO184" s="163">
        <f>AO183-AO186</f>
        <v>17</v>
      </c>
      <c r="AP184" s="165"/>
      <c r="AQ184" s="163"/>
      <c r="AR184" s="163" t="s">
        <v>201</v>
      </c>
      <c r="AS184" s="163"/>
      <c r="AT184" s="163"/>
      <c r="AU184" s="163"/>
      <c r="AV184" s="163"/>
      <c r="AW184" s="121"/>
    </row>
    <row r="185" spans="38:49" s="164" customFormat="1" ht="12" customHeight="1" hidden="1">
      <c r="AL185" s="163"/>
      <c r="AM185" s="163">
        <f>IF(AM188&lt;=AM189,"",MID(AR202,AM186+1,100))</f>
      </c>
      <c r="AN185" s="163"/>
      <c r="AO185" s="163" t="str">
        <f>IF(AO188&lt;=AO189,"",IF(AO180=0,MID(AR202,AO186+1,39),MID(AR202,AO186+1,AO180-AO186)))</f>
        <v>сто семьдесят два</v>
      </c>
      <c r="AP185" s="165"/>
      <c r="AQ185" s="163"/>
      <c r="AR185" s="166">
        <f>INT(AS185)</f>
        <v>232172</v>
      </c>
      <c r="AS185" s="166">
        <f>ROUND(AL46,2)</f>
        <v>232172.64</v>
      </c>
      <c r="AT185" s="163"/>
      <c r="AU185" s="163"/>
      <c r="AV185" s="163"/>
      <c r="AW185" s="121"/>
    </row>
    <row r="186" spans="38:49" s="164" customFormat="1" ht="12" customHeight="1" hidden="1">
      <c r="AL186" s="163"/>
      <c r="AM186" s="163" t="e">
        <f>FIND(" ",AR202,45)</f>
        <v>#VALUE!</v>
      </c>
      <c r="AN186" s="163"/>
      <c r="AO186" s="163">
        <f>FIND(" ",AR202,25)</f>
        <v>28</v>
      </c>
      <c r="AP186" s="163"/>
      <c r="AQ186" s="163">
        <v>1</v>
      </c>
      <c r="AR186" s="167">
        <f>AR185-INT(AR185/10)*10</f>
        <v>2</v>
      </c>
      <c r="AS186" s="168">
        <f>ROUND((AS185-AR185)*100,0)</f>
        <v>64</v>
      </c>
      <c r="AT186" s="163"/>
      <c r="AU186" s="163"/>
      <c r="AV186" s="163"/>
      <c r="AW186" s="121"/>
    </row>
    <row r="187" spans="38:49" s="164" customFormat="1" ht="12" customHeight="1" hidden="1">
      <c r="AL187" s="163"/>
      <c r="AM187" s="163" t="str">
        <f>IF(AM188&gt;AM189,LEFT(AR202,AM186-1),LEFT(AR202,50))</f>
        <v> Двести тридцать две тысячи сто семьдесят два</v>
      </c>
      <c r="AN187" s="163"/>
      <c r="AO187" s="163" t="str">
        <f>IF(AO188&gt;=AO189,LEFT(AR202,AO186-1),LEFT(AR202,30))</f>
        <v> Двести тридцать две тысячи</v>
      </c>
      <c r="AP187" s="163"/>
      <c r="AQ187" s="163">
        <v>2</v>
      </c>
      <c r="AR187" s="169">
        <f>IF(AND(AR186+AR188&gt;=11,AR186+AR188&lt;=19),AR186+AR188,0)</f>
        <v>0</v>
      </c>
      <c r="AS187" s="169">
        <f>INT(AS186)</f>
        <v>64</v>
      </c>
      <c r="AT187" s="163"/>
      <c r="AU187" s="163"/>
      <c r="AV187" s="163"/>
      <c r="AW187" s="121"/>
    </row>
    <row r="188" spans="38:49" s="164" customFormat="1" ht="12" customHeight="1" hidden="1">
      <c r="AL188" s="163"/>
      <c r="AM188" s="163">
        <f>LEN(AR202)</f>
        <v>45</v>
      </c>
      <c r="AN188" s="163"/>
      <c r="AO188" s="163">
        <f>LEN(AR202)</f>
        <v>45</v>
      </c>
      <c r="AP188" s="165"/>
      <c r="AQ188" s="163">
        <v>3</v>
      </c>
      <c r="AR188" s="169">
        <f>AR185-INT(AR185/100)*100-AR186</f>
        <v>70</v>
      </c>
      <c r="AS188" s="169">
        <f>IF(AS187=0,"",AS187-INT(AS187/10)*10)</f>
        <v>4</v>
      </c>
      <c r="AT188" s="163"/>
      <c r="AU188" s="163"/>
      <c r="AV188" s="163"/>
      <c r="AW188" s="121"/>
    </row>
    <row r="189" spans="38:49" s="164" customFormat="1" ht="12" customHeight="1" hidden="1">
      <c r="AL189" s="163"/>
      <c r="AM189" s="163">
        <v>50</v>
      </c>
      <c r="AN189" s="163"/>
      <c r="AO189" s="163">
        <v>30</v>
      </c>
      <c r="AP189" s="165"/>
      <c r="AQ189" s="163">
        <v>4</v>
      </c>
      <c r="AR189" s="169">
        <f>AR185-INT(AR185/1000)*1000-AR188-AR186</f>
        <v>100</v>
      </c>
      <c r="AS189" s="170">
        <f>IF(AS187=0,"",AS187)</f>
        <v>64</v>
      </c>
      <c r="AT189" s="163">
        <v>0</v>
      </c>
      <c r="AU189" s="163" t="s">
        <v>164</v>
      </c>
      <c r="AV189" s="163"/>
      <c r="AW189" s="121"/>
    </row>
    <row r="190" spans="38:49" s="164" customFormat="1" ht="12" customHeight="1" hidden="1">
      <c r="AL190" s="163"/>
      <c r="AM190" s="163"/>
      <c r="AN190" s="163"/>
      <c r="AO190" s="163"/>
      <c r="AP190" s="163"/>
      <c r="AQ190" s="163">
        <v>5</v>
      </c>
      <c r="AR190" s="169">
        <f>AR185-INT(AR185/10000)*10000-AR188-AR186-AR189</f>
        <v>2000</v>
      </c>
      <c r="AS190" s="163">
        <f>AR190/1000</f>
        <v>2</v>
      </c>
      <c r="AT190" s="163"/>
      <c r="AU190" s="163"/>
      <c r="AV190" s="163"/>
      <c r="AW190" s="121"/>
    </row>
    <row r="191" spans="38:49" s="164" customFormat="1" ht="12" customHeight="1" hidden="1">
      <c r="AL191" s="163"/>
      <c r="AM191" s="163"/>
      <c r="AN191" s="163"/>
      <c r="AO191" s="163"/>
      <c r="AP191" s="163"/>
      <c r="AQ191" s="163">
        <v>6</v>
      </c>
      <c r="AR191" s="163"/>
      <c r="AS191" s="169">
        <f>IF(AND(AS190+AS192&gt;=11,AS190+AS192&lt;=19),AS190+AS192,0)</f>
        <v>0</v>
      </c>
      <c r="AT191" s="163"/>
      <c r="AU191" s="163"/>
      <c r="AV191" s="163"/>
      <c r="AW191" s="121"/>
    </row>
    <row r="192" spans="38:49" s="164" customFormat="1" ht="12" customHeight="1" hidden="1">
      <c r="AL192" s="163"/>
      <c r="AM192" s="163"/>
      <c r="AN192" s="163"/>
      <c r="AO192" s="163"/>
      <c r="AP192" s="163"/>
      <c r="AQ192" s="163">
        <v>7</v>
      </c>
      <c r="AR192" s="169">
        <f>AR185-INT(AR185/100000)*100000-AR188-AR186-AR189-AR190</f>
        <v>30000</v>
      </c>
      <c r="AS192" s="163">
        <f>AR192/1000</f>
        <v>30</v>
      </c>
      <c r="AT192" s="163"/>
      <c r="AU192" s="163"/>
      <c r="AV192" s="163"/>
      <c r="AW192" s="121"/>
    </row>
    <row r="193" spans="38:49" s="164" customFormat="1" ht="12" customHeight="1" hidden="1">
      <c r="AL193" s="163"/>
      <c r="AM193" s="163"/>
      <c r="AN193" s="163"/>
      <c r="AO193" s="163"/>
      <c r="AP193" s="163"/>
      <c r="AQ193" s="163">
        <v>8</v>
      </c>
      <c r="AR193" s="169">
        <f>AR185-INT(AR185/1000000)*1000000-AR188-AR186-AR189-AR190-AR192</f>
        <v>200000</v>
      </c>
      <c r="AS193" s="163">
        <f>AR193/1000</f>
        <v>200</v>
      </c>
      <c r="AT193" s="163"/>
      <c r="AU193" s="163"/>
      <c r="AV193" s="163"/>
      <c r="AW193" s="121"/>
    </row>
    <row r="194" spans="38:49" s="164" customFormat="1" ht="12" customHeight="1" hidden="1">
      <c r="AL194" s="163"/>
      <c r="AM194" s="163"/>
      <c r="AN194" s="163"/>
      <c r="AO194" s="163"/>
      <c r="AP194" s="163"/>
      <c r="AQ194" s="163">
        <v>9</v>
      </c>
      <c r="AR194" s="169">
        <f>AR185-INT(AR185/10000000)*10000000-AR188-AR186-AR189-AR190-AR192-AR193</f>
        <v>0</v>
      </c>
      <c r="AS194" s="163">
        <f>AR194/1000000</f>
        <v>0</v>
      </c>
      <c r="AT194" s="163"/>
      <c r="AU194" s="163"/>
      <c r="AV194" s="163"/>
      <c r="AW194" s="121"/>
    </row>
    <row r="195" spans="38:49" s="164" customFormat="1" ht="12" customHeight="1" hidden="1">
      <c r="AL195" s="163"/>
      <c r="AM195" s="163"/>
      <c r="AN195" s="163"/>
      <c r="AO195" s="163"/>
      <c r="AP195" s="163"/>
      <c r="AQ195" s="163">
        <v>10</v>
      </c>
      <c r="AR195" s="163"/>
      <c r="AS195" s="169">
        <f>IF(AND(AS194+AS196&gt;=11,AS194+AS196&lt;=19),AS194+AS196,0)</f>
        <v>0</v>
      </c>
      <c r="AT195" s="163"/>
      <c r="AU195" s="163"/>
      <c r="AV195" s="163"/>
      <c r="AW195" s="121"/>
    </row>
    <row r="196" spans="38:49" s="164" customFormat="1" ht="12" customHeight="1" hidden="1">
      <c r="AL196" s="163"/>
      <c r="AM196" s="163"/>
      <c r="AN196" s="163"/>
      <c r="AO196" s="163"/>
      <c r="AP196" s="163"/>
      <c r="AQ196" s="163">
        <v>11</v>
      </c>
      <c r="AR196" s="169">
        <f>AR185-INT(AR185/100000000)*100000000-AR188-AR186-AR189-AR190-AR192-AR193-AR194</f>
        <v>0</v>
      </c>
      <c r="AS196" s="163">
        <f>AR196/1000000</f>
        <v>0</v>
      </c>
      <c r="AT196" s="163"/>
      <c r="AU196" s="163"/>
      <c r="AV196" s="163"/>
      <c r="AW196" s="121"/>
    </row>
    <row r="197" spans="38:49" s="164" customFormat="1" ht="12" customHeight="1" hidden="1">
      <c r="AL197" s="163"/>
      <c r="AM197" s="163"/>
      <c r="AN197" s="163"/>
      <c r="AO197" s="163"/>
      <c r="AP197" s="163"/>
      <c r="AQ197" s="163">
        <v>12</v>
      </c>
      <c r="AR197" s="169">
        <f>AR185-INT(AR185/1000000000)*1000000000-AR188-AR186-AR189-AR190-AR192-AR193-AR194-AR196</f>
        <v>0</v>
      </c>
      <c r="AS197" s="163">
        <f>AR197/1000000</f>
        <v>0</v>
      </c>
      <c r="AT197" s="163"/>
      <c r="AU197" s="163"/>
      <c r="AV197" s="163"/>
      <c r="AW197" s="121"/>
    </row>
    <row r="198" spans="38:49" s="164" customFormat="1" ht="12" customHeight="1" hidden="1">
      <c r="AL198" s="163"/>
      <c r="AM198" s="163"/>
      <c r="AN198" s="163"/>
      <c r="AO198" s="163"/>
      <c r="AP198" s="163"/>
      <c r="AQ198" s="163">
        <v>13</v>
      </c>
      <c r="AR198" s="169">
        <f>AR185-INT(AR185/10000000000)*10000000000-AR188-AR186-AR189-AR190-AR192-AR193-AR194-AR196-AR197</f>
        <v>0</v>
      </c>
      <c r="AS198" s="163">
        <f>AR198/1000000000</f>
        <v>0</v>
      </c>
      <c r="AT198" s="163"/>
      <c r="AU198" s="163"/>
      <c r="AV198" s="163"/>
      <c r="AW198" s="121"/>
    </row>
    <row r="199" spans="38:49" s="164" customFormat="1" ht="12" customHeight="1" hidden="1">
      <c r="AL199" s="163"/>
      <c r="AM199" s="163"/>
      <c r="AN199" s="163"/>
      <c r="AO199" s="163"/>
      <c r="AP199" s="163"/>
      <c r="AQ199" s="163">
        <v>14</v>
      </c>
      <c r="AR199" s="169"/>
      <c r="AS199" s="169">
        <f>IF(AND(AS198+AS200&gt;=11,AS198+AS200&lt;=19),AS198+AS200,0)</f>
        <v>0</v>
      </c>
      <c r="AT199" s="163"/>
      <c r="AU199" s="163"/>
      <c r="AV199" s="163"/>
      <c r="AW199" s="121"/>
    </row>
    <row r="200" spans="38:49" s="164" customFormat="1" ht="12" customHeight="1" hidden="1">
      <c r="AL200" s="163"/>
      <c r="AM200" s="163"/>
      <c r="AN200" s="163"/>
      <c r="AO200" s="163"/>
      <c r="AP200" s="163"/>
      <c r="AQ200" s="163">
        <v>15</v>
      </c>
      <c r="AR200" s="169">
        <f>AR185-INT(AR185/100000000000)*100000000000-AR188-AR186-AR189-AR190-AR192-AR193-AR194-AR196-AR197-AR198</f>
        <v>0</v>
      </c>
      <c r="AS200" s="163">
        <f>AR200/1000000000</f>
        <v>0</v>
      </c>
      <c r="AT200" s="163"/>
      <c r="AU200" s="163"/>
      <c r="AV200" s="163"/>
      <c r="AW200" s="121"/>
    </row>
    <row r="201" spans="38:49" s="164" customFormat="1" ht="12" customHeight="1" hidden="1">
      <c r="AL201" s="163"/>
      <c r="AM201" s="163"/>
      <c r="AN201" s="163"/>
      <c r="AO201" s="163"/>
      <c r="AP201" s="163">
        <f>SEARCH("@",SUBSTITUTE(AR202," ","@",LEN(AR202)-LEN(SUBSTITUTE(AR202," ",""))))</f>
        <v>42</v>
      </c>
      <c r="AQ201" s="163">
        <v>16</v>
      </c>
      <c r="AR201" s="169">
        <f>AR185-INT(AR185/1000000000000)*1000000000000-AR188-AR186-AR189-AR190-AR192-AR193-AR194-AR196-AR197-AR198-AR200</f>
        <v>0</v>
      </c>
      <c r="AS201" s="163">
        <f>AR201/1000000000</f>
        <v>0</v>
      </c>
      <c r="AT201" s="163"/>
      <c r="AU201" s="163"/>
      <c r="AV201" s="163"/>
      <c r="AW201" s="121"/>
    </row>
    <row r="202" spans="38:49" s="164" customFormat="1" ht="12" customHeight="1" hidden="1">
      <c r="AL202" s="163"/>
      <c r="AM202" s="163"/>
      <c r="AN202" s="163"/>
      <c r="AO202" s="163"/>
      <c r="AP202" s="163"/>
      <c r="AQ202" s="163"/>
      <c r="AR202" s="171" t="str">
        <f>IF(AS185=0,"",AP218&amp;AP217&amp;AP216&amp;AP215&amp;AU215&amp;AP214&amp;AP213&amp;AP212&amp;AP211&amp;AU211&amp;AP210&amp;AP209&amp;AP208&amp;AP207&amp;AU207&amp;AP206&amp;AP205&amp;AP204&amp;AP203)</f>
        <v> Двести тридцать две тысячи сто семьдесят два</v>
      </c>
      <c r="AS202" s="163"/>
      <c r="AT202" s="163"/>
      <c r="AU202" s="163"/>
      <c r="AV202" s="163"/>
      <c r="AW202" s="121"/>
    </row>
    <row r="203" spans="38:49" s="164" customFormat="1" ht="12" customHeight="1" hidden="1">
      <c r="AL203" s="163" t="s">
        <v>165</v>
      </c>
      <c r="AM203" s="172">
        <f>IF(AR187&gt;0,"",IF(AR186=1,AN203,""))</f>
      </c>
      <c r="AN203" s="173" t="s">
        <v>166</v>
      </c>
      <c r="AO203" s="163"/>
      <c r="AP203" s="163" t="str">
        <f>IF(SUM(AR187:AR201)=0,PROPER(AR203),AR203)</f>
        <v> два</v>
      </c>
      <c r="AQ203" s="163">
        <v>1</v>
      </c>
      <c r="AR203" s="171" t="str">
        <f>IF(AND(AR187&lt;20,AR187&gt;10),"",AS203&amp;AT203)</f>
        <v> два</v>
      </c>
      <c r="AS203" s="163" t="str">
        <f>IF(AR186=1," один",IF(AR186=2," два",IF(AR186=3," три",IF(AR186=4," четыре",IF(AR186=5," пять",IF(AR186=6," шесть",IF(AR186=7," семь","")))))))</f>
        <v> два</v>
      </c>
      <c r="AT203" s="163">
        <f>IF(AR186=8," восемь",IF(AR186=9," девять",""))</f>
      </c>
      <c r="AU203" s="163"/>
      <c r="AV203" s="163"/>
      <c r="AW203" s="121"/>
    </row>
    <row r="204" spans="38:49" s="164" customFormat="1" ht="12" customHeight="1" hidden="1">
      <c r="AL204" s="163" t="s">
        <v>167</v>
      </c>
      <c r="AM204" s="174" t="str">
        <f>IF(AR187&gt;0,"",IF(OR(AR186=2,AR186=3,AR186=4),AN204,""))</f>
        <v> белорусских рубля </v>
      </c>
      <c r="AN204" s="175" t="s">
        <v>168</v>
      </c>
      <c r="AO204" s="163"/>
      <c r="AP204" s="163">
        <f>IF(SUM(AR189:AR201)=0,PROPER(AR204),AR204)</f>
      </c>
      <c r="AQ204" s="163">
        <v>2</v>
      </c>
      <c r="AR204" s="171">
        <f>AS204&amp;AT204</f>
      </c>
      <c r="AS204" s="163">
        <f>IF(AR187=11," одиннадцать",IF(AR187=12," двенадцать",IF(AR187=13," тринадцать",IF(AR187=14," четырнадцать",IF(AR187=15," пятнадцать",IF(AR187=16," шестнадцать",IF(AR187=17," семнадцать","")))))))</f>
      </c>
      <c r="AT204" s="163">
        <f>IF(AR187=18," восемнадцать",IF(AR187=19," девятнадцать",""))</f>
      </c>
      <c r="AU204" s="163"/>
      <c r="AV204" s="163"/>
      <c r="AW204" s="121"/>
    </row>
    <row r="205" spans="38:49" s="164" customFormat="1" ht="12" customHeight="1" hidden="1">
      <c r="AL205" s="163" t="s">
        <v>169</v>
      </c>
      <c r="AM205" s="174">
        <f>IF(AR187&gt;0,"",IF(OR(AR186=0,AR186=5,AR186=6,AR186=7,AR186=8,AR186=9),AN205,""))</f>
      </c>
      <c r="AN205" s="175" t="s">
        <v>170</v>
      </c>
      <c r="AO205" s="163"/>
      <c r="AP205" s="163" t="str">
        <f>IF(SUM(AR189:AR201)=0,PROPER(AR205),AR205)</f>
        <v> семьдесят</v>
      </c>
      <c r="AQ205" s="163">
        <v>3</v>
      </c>
      <c r="AR205" s="171" t="str">
        <f>IF(AND(AR187&lt;20,AR187&gt;10),"",AS205&amp;AT205)</f>
        <v> семьдесят</v>
      </c>
      <c r="AS205" s="163">
        <f>IF(AR188=10," десять",IF(AR188=20," двадцать",IF(AR188=30," тридцать",IF(AR188=40," сорок",IF(AR188=50," пятьдесят",IF(AR188=60," шестьдесят",""))))))</f>
      </c>
      <c r="AT205" s="163" t="str">
        <f>IF(AR188=70," семьдесят",IF(AR188=80," восемьдесят",IF(AR188=90," девяносто","")))</f>
        <v> семьдесят</v>
      </c>
      <c r="AU205" s="163"/>
      <c r="AV205" s="163"/>
      <c r="AW205" s="121"/>
    </row>
    <row r="206" spans="38:49" s="164" customFormat="1" ht="12" customHeight="1" hidden="1">
      <c r="AL206" s="163"/>
      <c r="AM206" s="163">
        <f>IF(AND(AR187&gt;=11,AR187&lt;=19),AN205,"")</f>
      </c>
      <c r="AN206" s="175"/>
      <c r="AO206" s="163"/>
      <c r="AP206" s="163" t="str">
        <f>IF(SUM(AS190:AS201)=0,PROPER(AR206),AR206)</f>
        <v> сто</v>
      </c>
      <c r="AQ206" s="163">
        <v>4</v>
      </c>
      <c r="AR206" s="171" t="str">
        <f>AS206&amp;AT206</f>
        <v> сто</v>
      </c>
      <c r="AS206" s="163" t="str">
        <f>IF(AR189=100," сто",IF(AR189=200," двести",IF(AR189=300," триста",IF(AR189=400," четыреста",IF(AR189=500," пятьсот",IF(AR189=600," шестьсот",""))))))</f>
        <v> сто</v>
      </c>
      <c r="AT206" s="163">
        <f>IF(AR189=700," семьсот",IF(AR189=800," восемьсот",IF(AR189=900," девятьсот","")))</f>
      </c>
      <c r="AU206" s="163"/>
      <c r="AV206" s="163"/>
      <c r="AW206" s="121"/>
    </row>
    <row r="207" spans="38:49" s="164" customFormat="1" ht="12" customHeight="1" hidden="1">
      <c r="AL207" s="163"/>
      <c r="AM207" s="173" t="str">
        <f>AM203&amp;AM204&amp;AM205&amp;AM206</f>
        <v> белорусских рубля </v>
      </c>
      <c r="AN207" s="173"/>
      <c r="AO207" s="163"/>
      <c r="AP207" s="163" t="str">
        <f>IF(SUM(AS191:AS201)=0,PROPER(AR207),AR207)</f>
        <v> две</v>
      </c>
      <c r="AQ207" s="163">
        <v>5</v>
      </c>
      <c r="AR207" s="171" t="str">
        <f>IF(AND(AS191&lt;20,AS191&gt;10),"",AS207&amp;AT207)</f>
        <v> две</v>
      </c>
      <c r="AS207" s="163" t="str">
        <f>IF(AS190=1," одна",IF(AS190=2," две",IF(AS190=3," три",IF(AS190=4," четыре",IF(AS190=5," пять",IF(AS190=6," шесть",IF(AS190=7," семь","")))))))</f>
        <v> две</v>
      </c>
      <c r="AT207" s="163">
        <f>IF(AS190=8," восемь",IF(AS190=9," девять",""))</f>
      </c>
      <c r="AU207" s="163" t="str">
        <f>IF(AND(AR207="",AR208="",AR209="",AR210=""),"",IF(AND(AS191&lt;20,AS191&gt;10)," тысяч",IF(AS190=1," тысяча",IF(OR(AS190=2,AS190=3,AS190=4)," тысячи"," тысяч"))))</f>
        <v> тысячи</v>
      </c>
      <c r="AV207" s="163"/>
      <c r="AW207" s="121"/>
    </row>
    <row r="208" spans="38:49" s="164" customFormat="1" ht="12" customHeight="1" hidden="1">
      <c r="AL208" s="163"/>
      <c r="AM208" s="172"/>
      <c r="AN208" s="173"/>
      <c r="AO208" s="163"/>
      <c r="AP208" s="163">
        <f>IF(SUM(AS193:AS201)=0,PROPER(AR208),AR208)</f>
      </c>
      <c r="AQ208" s="163">
        <v>6</v>
      </c>
      <c r="AR208" s="171">
        <f>AS208&amp;AT208</f>
      </c>
      <c r="AS208" s="163">
        <f>IF(AS191=11," одиннадцать",IF(AS191=12," двенадцать",IF(AS191=13," тринадцать",IF(AS191=14," четырнадцать",IF(AS191=15," пятнадцать",IF(AS191=16," шестнадцать",IF(AS191=17," семнадцать","")))))))</f>
      </c>
      <c r="AT208" s="163">
        <f>IF(AS191=18," восемнадцать",IF(AS191=19," девятнадцать",""))</f>
      </c>
      <c r="AU208" s="163"/>
      <c r="AV208" s="163"/>
      <c r="AW208" s="121"/>
    </row>
    <row r="209" spans="38:49" s="164" customFormat="1" ht="12" customHeight="1" hidden="1">
      <c r="AL209" s="163"/>
      <c r="AM209" s="163"/>
      <c r="AN209" s="163"/>
      <c r="AO209" s="163"/>
      <c r="AP209" s="163" t="str">
        <f>IF(SUM(AS193:AS201)=0,PROPER(AR209),AR209)</f>
        <v> тридцать</v>
      </c>
      <c r="AQ209" s="163">
        <v>7</v>
      </c>
      <c r="AR209" s="171" t="str">
        <f>IF(AND(AS191&lt;20,AS191&gt;10),"",AS209&amp;AT209)</f>
        <v> тридцать</v>
      </c>
      <c r="AS209" s="163" t="str">
        <f>IF(AS192=10," десять",IF(AS192=20," двадцать",IF(AS192=30," тридцать",IF(AS192=40," сорок",IF(AS192=50," пятьдесят",IF(AS192=60," шестьдесят",""))))))</f>
        <v> тридцать</v>
      </c>
      <c r="AT209" s="163">
        <f>IF(AS192=70," семьдесят",IF(AS192=80," восемьдесят",IF(AS192=90," девяносто","")))</f>
      </c>
      <c r="AU209" s="163"/>
      <c r="AV209" s="163"/>
      <c r="AW209" s="121"/>
    </row>
    <row r="210" spans="38:49" s="164" customFormat="1" ht="12" customHeight="1" hidden="1">
      <c r="AL210" s="163"/>
      <c r="AM210" s="163"/>
      <c r="AN210" s="163"/>
      <c r="AO210" s="163"/>
      <c r="AP210" s="163" t="str">
        <f>IF(SUM(AS194:AS201)=0,PROPER(AR210),AR210)</f>
        <v> Двести</v>
      </c>
      <c r="AQ210" s="163">
        <v>8</v>
      </c>
      <c r="AR210" s="171" t="str">
        <f>AS210&amp;AT210</f>
        <v> двести</v>
      </c>
      <c r="AS210" s="163" t="str">
        <f>IF(AS193=100," сто",IF(AS193=200," двести",IF(AS193=300," триста",IF(AS193=400," четыреста",IF(AS193=500," пятьсот",IF(AS193=600," шестьсот",""))))))</f>
        <v> двести</v>
      </c>
      <c r="AT210" s="163">
        <f>IF(AS193=700," семьсот",IF(AS193=800," восемьсот",IF(AS193=900," девятьсот","")))</f>
      </c>
      <c r="AU210" s="163"/>
      <c r="AV210" s="163"/>
      <c r="AW210" s="121"/>
    </row>
    <row r="211" spans="38:49" s="164" customFormat="1" ht="12" customHeight="1" hidden="1">
      <c r="AL211" s="163"/>
      <c r="AM211" s="163"/>
      <c r="AN211" s="163"/>
      <c r="AO211" s="163"/>
      <c r="AP211" s="163">
        <f>IF(SUM(AS195:AS201)=0,PROPER(AR211),AR211)</f>
      </c>
      <c r="AQ211" s="163">
        <v>9</v>
      </c>
      <c r="AR211" s="171">
        <f>IF(AND(AS195&lt;20,AS195&gt;10),"",AS211&amp;AT211)</f>
      </c>
      <c r="AS211" s="163">
        <f>IF(AS194=1," один",IF(AS194=2," два",IF(AS194=3," три",IF(AS194=4," четыре",IF(AS194=5," пять",IF(AS194=6," шесть",IF(AS194=7," семь","")))))))</f>
      </c>
      <c r="AT211" s="163">
        <f>IF(AS194=8," восемь",IF(AS194=9," девять",""))</f>
      </c>
      <c r="AU211" s="163">
        <f>IF(AND(AR211="",AR212="",AR213="",AR214=""),"",IF(AND(AS195&lt;20,AS195&gt;10)," миллионов",IF(AS194=1," миллион",IF(OR(AS194=2,AS194=3,AS194=4)," миллиона"," миллионов"))))</f>
      </c>
      <c r="AV211" s="163"/>
      <c r="AW211" s="121"/>
    </row>
    <row r="212" spans="38:49" s="164" customFormat="1" ht="12" customHeight="1" hidden="1">
      <c r="AL212" s="163"/>
      <c r="AM212" s="163"/>
      <c r="AN212" s="163"/>
      <c r="AO212" s="163"/>
      <c r="AP212" s="163">
        <f>IF(SUM(AS197:AS201)=0,PROPER(AR212),AR212)</f>
      </c>
      <c r="AQ212" s="163">
        <v>10</v>
      </c>
      <c r="AR212" s="171">
        <f>AS212&amp;AT212</f>
      </c>
      <c r="AS212" s="163">
        <f>IF(AS195=11," одиннадцать",IF(AS195=12," двенадцать",IF(AS195=13," тринадцать",IF(AS195=14," четырнадцать",IF(AS195=15," пятнадцать",IF(AS195=16," шестнадцать",IF(AS195=17," семнадцать","")))))))</f>
      </c>
      <c r="AT212" s="163">
        <f>IF(AS195=18," восемнадцать",IF(AS195=19," девятнадцать",""))</f>
      </c>
      <c r="AU212" s="163"/>
      <c r="AV212" s="163"/>
      <c r="AW212" s="121"/>
    </row>
    <row r="213" spans="38:49" s="164" customFormat="1" ht="12" customHeight="1" hidden="1">
      <c r="AL213" s="163"/>
      <c r="AM213" s="163"/>
      <c r="AN213" s="163"/>
      <c r="AO213" s="163"/>
      <c r="AP213" s="163">
        <f>IF(SUM(AS197:AS201)=0,PROPER(AR213),AR213)</f>
      </c>
      <c r="AQ213" s="163">
        <v>11</v>
      </c>
      <c r="AR213" s="171">
        <f>IF(AND(AS195&lt;20,AS195&gt;10),"",AS213&amp;AT213)</f>
      </c>
      <c r="AS213" s="163">
        <f>IF(AS196=10," десять",IF(AS196=20," двадцать",IF(AS196=30," тридцать",IF(AS196=40," сорок",IF(AS196=50," пятьдесят",IF(AS196=60," шестьдесят",""))))))</f>
      </c>
      <c r="AT213" s="163">
        <f>IF(AS196=70," семьдесят",IF(AS196=80," восемьдесят",IF(AS196=90," девяносто","")))</f>
      </c>
      <c r="AU213" s="163"/>
      <c r="AV213" s="163"/>
      <c r="AW213" s="121"/>
    </row>
    <row r="214" spans="38:49" s="164" customFormat="1" ht="12" customHeight="1" hidden="1">
      <c r="AL214" s="163"/>
      <c r="AM214" s="163"/>
      <c r="AN214" s="163"/>
      <c r="AO214" s="163"/>
      <c r="AP214" s="163">
        <f>IF(SUM(AS198:AS201)=0,PROPER(AR214),AR214)</f>
      </c>
      <c r="AQ214" s="163">
        <v>12</v>
      </c>
      <c r="AR214" s="171">
        <f>AS214&amp;AT214</f>
      </c>
      <c r="AS214" s="163">
        <f>IF(AS197=100," сто",IF(AS197=200," двести",IF(AS197=300," триста",IF(AS197=400," четыреста",IF(AS197=500," пятьсот",IF(AS197=600," шестьсот",""))))))</f>
      </c>
      <c r="AT214" s="163">
        <f>IF(AS197=700," семьсот",IF(AS197=800," восемьсот",IF(AS197=900," девятьсот","")))</f>
      </c>
      <c r="AU214" s="163"/>
      <c r="AV214" s="163"/>
      <c r="AW214" s="121"/>
    </row>
    <row r="215" spans="38:49" s="164" customFormat="1" ht="12" customHeight="1" hidden="1">
      <c r="AL215" s="163"/>
      <c r="AM215" s="163"/>
      <c r="AN215" s="163"/>
      <c r="AO215" s="163"/>
      <c r="AP215" s="163">
        <f>IF(SUM(AS199:AS201)=0,PROPER(AR215),AR215)</f>
      </c>
      <c r="AQ215" s="163">
        <v>13</v>
      </c>
      <c r="AR215" s="171">
        <f>IF(AND(AS199&lt;20,AS199&gt;10),"",AS215&amp;AT215)</f>
      </c>
      <c r="AS215" s="163">
        <f>IF(AS198=1," один",IF(AS198=2," два",IF(AS198=3," три",IF(AS198=4," четыре",IF(AS198=5," пять",IF(AS198=6," шесть",IF(AS198=7," семь","")))))))</f>
      </c>
      <c r="AT215" s="163">
        <f>IF(AS198=8," восемь",IF(AS198=9," девять",""))</f>
      </c>
      <c r="AU215" s="163">
        <f>IF(AND(AR215="",AR216="",AR217="",AR218=""),"",IF(AND(AS199&lt;20,AS199&gt;10)," миллиардов",IF(AS198=1," миллиард",IF(OR(AS198=2,AS198=3,AS198=4)," миллиарда"," миллиардов"))))</f>
      </c>
      <c r="AV215" s="163"/>
      <c r="AW215" s="121"/>
    </row>
    <row r="216" spans="38:49" s="164" customFormat="1" ht="12" customHeight="1" hidden="1">
      <c r="AL216" s="163"/>
      <c r="AM216" s="163"/>
      <c r="AN216" s="163"/>
      <c r="AO216" s="163"/>
      <c r="AP216" s="163">
        <f>IF(AS201=0,PROPER(AR216),AR216)</f>
      </c>
      <c r="AQ216" s="163">
        <v>14</v>
      </c>
      <c r="AR216" s="171">
        <f>AS216&amp;AT216</f>
      </c>
      <c r="AS216" s="163">
        <f>IF(AS199=11," одиннадцать",IF(AS199=12," двенадцать",IF(AS199=13," тринадцать",IF(AS199=14," четырнадцать",IF(AS199=15," пятнадцать",IF(AS199=16," шестнадцать",IF(AS199=17," семнадцать","")))))))</f>
      </c>
      <c r="AT216" s="163">
        <f>IF(AS199=18," восемнадцать",IF(AS199=19," девятнадцать",""))</f>
      </c>
      <c r="AU216" s="163"/>
      <c r="AV216" s="163"/>
      <c r="AW216" s="121"/>
    </row>
    <row r="217" spans="38:49" s="164" customFormat="1" ht="12" customHeight="1" hidden="1">
      <c r="AL217" s="163"/>
      <c r="AM217" s="163"/>
      <c r="AN217" s="163"/>
      <c r="AO217" s="163"/>
      <c r="AP217" s="163">
        <f>IF(SUM(AS201)=0,PROPER(AR217),AR217)</f>
      </c>
      <c r="AQ217" s="163">
        <v>15</v>
      </c>
      <c r="AR217" s="171">
        <f>IF(AND(AS199&lt;20,AS199&gt;10),"",AS217&amp;AT217)</f>
      </c>
      <c r="AS217" s="163">
        <f>IF(AS200=10," десять",IF(AS200=20," двадцать",IF(AS200=30," тридцать",IF(AS200=40," сорок",IF(AS200=50," пятьдесят",IF(AS200=60," шестьдесят",""))))))</f>
      </c>
      <c r="AT217" s="163">
        <f>IF(AS200=70," семьдесят",IF(AS200=80," восемьдесят",IF(AS200=90," девяносто","")))</f>
      </c>
      <c r="AU217" s="163"/>
      <c r="AV217" s="163"/>
      <c r="AW217" s="121"/>
    </row>
    <row r="218" spans="38:49" s="164" customFormat="1" ht="12" customHeight="1" hidden="1">
      <c r="AL218" s="163"/>
      <c r="AM218" s="163"/>
      <c r="AN218" s="163"/>
      <c r="AO218" s="163"/>
      <c r="AP218" s="163">
        <f>PROPER(AR218)</f>
      </c>
      <c r="AQ218" s="163">
        <v>16</v>
      </c>
      <c r="AR218" s="171">
        <f>AS218&amp;AT218</f>
      </c>
      <c r="AS218" s="163">
        <f>IF(AS201=100," сто",IF(AS201=200," двести",IF(AS201=300," триста",IF(AS201=400," четыреста",IF(AS201=500," пятьсот",IF(AS201=600," шестьсот",""))))))</f>
      </c>
      <c r="AT218" s="163">
        <f>IF(AS201=700," семьсот",IF(AS201=800," восемьсот",IF(AS201=900," девятьсот","")))</f>
      </c>
      <c r="AU218" s="163"/>
      <c r="AV218" s="163"/>
      <c r="AW218" s="121"/>
    </row>
    <row r="219" spans="64:120" s="125" customFormat="1" ht="12" customHeight="1" hidden="1">
      <c r="BL219" s="120"/>
      <c r="BM219" s="120"/>
      <c r="BN219" s="120"/>
      <c r="BO219" s="120"/>
      <c r="DJ219" s="183">
        <f>TRUNC(DJ221/10)</f>
        <v>0</v>
      </c>
      <c r="DK219" s="184">
        <f>TRUNC(RIGHT(DJ219))</f>
        <v>0</v>
      </c>
      <c r="DL219" s="185">
        <f>IF(DK218=1,DK219+10,IF(DK219=0,0,DK219))</f>
        <v>0</v>
      </c>
      <c r="DM219" s="185">
        <f>IF(AND(DL219&gt;9,DL219&lt;16),IF(DL219=10,DM236,IF(DL219=11,DM237,IF(DL219=12,DM238,IF(DL219=13,DM239,IF(DL219=14,DM240,IF(DL219=15,DM241,)))))),"")</f>
      </c>
      <c r="DN219" s="186">
        <f>IF(DK219=1,DJ236,IF(DK219=2,DJ237,IF(DK219=3,DJ238,IF(DK219=4,DJ239,IF(DK219=5,DJ240,IF(DK219=6,DJ241,IF(DK219=7,DJ242,IF(DK219=8,DJ243,DJ244))))))))</f>
        <v>0</v>
      </c>
      <c r="DO219" s="185">
        <f>IF(AND(DL219&gt;15,DL219&lt;20),IF(DL219=16,DM242,IF(DL219=17,DM243,IF(DL219=18,DM244,IF(DL219=19,DM245,)))),"")</f>
      </c>
      <c r="DP219" s="185"/>
    </row>
    <row r="220" spans="64:120" s="125" customFormat="1" ht="12" customHeight="1" hidden="1">
      <c r="BL220" s="120"/>
      <c r="BM220" s="120"/>
      <c r="BN220" s="120"/>
      <c r="BO220" s="120"/>
      <c r="DJ220" s="183"/>
      <c r="DK220" s="184"/>
      <c r="DL220" s="185"/>
      <c r="DM220" s="184"/>
      <c r="DN220" s="185">
        <f>DK219+DK218*10+DK217*100</f>
        <v>0</v>
      </c>
      <c r="DO220" s="185">
        <f>IF(DN220=0,"",IF(DK218=1,"миллиардов ",IF(DK219=1,"миллиард ",IF(OR(DK219=2,DK219=3,DK219=4),"миллиарда ","миллиардов "))))</f>
      </c>
      <c r="DP220" s="185"/>
    </row>
    <row r="221" spans="64:120" s="125" customFormat="1" ht="12" customHeight="1" hidden="1">
      <c r="BL221" s="120"/>
      <c r="BM221" s="120"/>
      <c r="BN221" s="120"/>
      <c r="BO221" s="120"/>
      <c r="DJ221" s="183">
        <f>TRUNC(DJ222/10)</f>
        <v>0</v>
      </c>
      <c r="DK221" s="184">
        <f>TRUNC(RIGHT(DJ221))</f>
        <v>0</v>
      </c>
      <c r="DL221" s="185">
        <f>DK221</f>
        <v>0</v>
      </c>
      <c r="DM221" s="185"/>
      <c r="DN221" s="185">
        <f>IF(DK221=1,DN245,IF(DK221=2,DP237,IF(DK221=3,DP238,IF(DK221=4,DP239,IF(DK221=5,DP240,IF(DK221=6,DP241,IF(DK221=7,DP242,IF(DK221=8,DP243,DP244))))))))</f>
        <v>0</v>
      </c>
      <c r="DO221" s="185"/>
      <c r="DP221" s="185"/>
    </row>
    <row r="222" spans="64:120" s="125" customFormat="1" ht="12" customHeight="1" hidden="1">
      <c r="BL222" s="120"/>
      <c r="BM222" s="120"/>
      <c r="BN222" s="120"/>
      <c r="BO222" s="120"/>
      <c r="DJ222" s="183">
        <f>TRUNC(DJ223/10)</f>
        <v>0</v>
      </c>
      <c r="DK222" s="184">
        <f>TRUNC(RIGHT(DJ222))</f>
        <v>0</v>
      </c>
      <c r="DL222" s="185">
        <f>IF(DK222=1,"",DK222)</f>
        <v>0</v>
      </c>
      <c r="DM222" s="185"/>
      <c r="DN222" s="186">
        <f>IF(OR(DL222=0,DK222=1),"",IF(DK222=2,DN237,IF(DK222=3,DN238,IF(DK222=4,DN239,IF(DK222=5,DN240,IF(DK222=6,DN241,IF(DK222=7,DN242,IF(DK222=8,DN243,DN244))))))))</f>
      </c>
      <c r="DO222" s="185"/>
      <c r="DP222" s="187"/>
    </row>
    <row r="223" spans="64:121" s="125" customFormat="1" ht="12" customHeight="1" hidden="1">
      <c r="BL223" s="120"/>
      <c r="BM223" s="120"/>
      <c r="BN223" s="120"/>
      <c r="BO223" s="120"/>
      <c r="DK223" s="203" t="e">
        <f>TRUNC(DK225/10)</f>
        <v>#VALUE!</v>
      </c>
      <c r="DL223" s="199" t="e">
        <f>TRUNC(RIGHT(DK223))</f>
        <v>#VALUE!</v>
      </c>
      <c r="DM223" s="195" t="e">
        <f>IF(DL222=1,DL223+10,IF(DL223=0,0,DL223))</f>
        <v>#VALUE!</v>
      </c>
      <c r="DN223" s="195" t="e">
        <f>IF(AND(DM223&gt;9,DM223&lt;16),IF(DM223=10,DN240,IF(DM223=11,DN241,IF(DM223=12,DN242,IF(DM223=13,DN243,IF(DM223=14,DN244,IF(DM223=15,DN245,)))))),"")</f>
        <v>#VALUE!</v>
      </c>
      <c r="DO223" s="200" t="e">
        <f>IF(DL223=1,DK240,IF(DL223=2,DK241,IF(DL223=3,DK242,IF(DL223=4,DK243,IF(DL223=5,DK244,IF(DL223=6,DK245,IF(DL223=7,DK246,IF(DL223=8,DK247,DK248))))))))</f>
        <v>#VALUE!</v>
      </c>
      <c r="DP223" s="195" t="e">
        <f>IF(AND(DM223&gt;15,DM223&lt;20),IF(DM223=16,DN246,IF(DM223=17,DN247,IF(DM223=18,DN248,IF(DM223=19,DN249,)))),"")</f>
        <v>#VALUE!</v>
      </c>
      <c r="DQ223" s="195"/>
    </row>
    <row r="224" spans="64:121" s="125" customFormat="1" ht="12" customHeight="1" hidden="1">
      <c r="BL224" s="120"/>
      <c r="BM224" s="120"/>
      <c r="BN224" s="120"/>
      <c r="BO224" s="120"/>
      <c r="DK224" s="203"/>
      <c r="DL224" s="199"/>
      <c r="DM224" s="195"/>
      <c r="DN224" s="199"/>
      <c r="DO224" s="195" t="e">
        <f>DL223+DL222*10+DL221*100</f>
        <v>#VALUE!</v>
      </c>
      <c r="DP224" s="195" t="e">
        <f>IF(DO224=0,"",IF(DL222=1,"миллиардов ",IF(DL223=1,"миллиард ",IF(OR(DL223=2,DL223=3,DL223=4),"миллиарда ","миллиардов "))))</f>
        <v>#VALUE!</v>
      </c>
      <c r="DQ224" s="195"/>
    </row>
    <row r="225" spans="64:121" s="125" customFormat="1" ht="12" customHeight="1" hidden="1">
      <c r="BL225" s="120"/>
      <c r="BM225" s="120"/>
      <c r="BN225" s="120"/>
      <c r="BO225" s="120"/>
      <c r="DK225" s="203" t="e">
        <f>TRUNC(DK226/10)</f>
        <v>#VALUE!</v>
      </c>
      <c r="DL225" s="199" t="e">
        <f>TRUNC(RIGHT(DK225))</f>
        <v>#VALUE!</v>
      </c>
      <c r="DM225" s="195" t="e">
        <f>DL225</f>
        <v>#VALUE!</v>
      </c>
      <c r="DN225" s="195"/>
      <c r="DO225" s="195" t="e">
        <f>IF(DL225=1,DO249,IF(DL225=2,DQ241,IF(DL225=3,DQ242,IF(DL225=4,DQ243,IF(DL225=5,DQ244,IF(DL225=6,DQ245,IF(DL225=7,DQ246,IF(DL225=8,DQ247,DQ248))))))))</f>
        <v>#VALUE!</v>
      </c>
      <c r="DP225" s="195"/>
      <c r="DQ225" s="195"/>
    </row>
    <row r="226" spans="115:121" ht="12" customHeight="1" hidden="1">
      <c r="DK226" s="203" t="e">
        <f>TRUNC(DK227/10)</f>
        <v>#VALUE!</v>
      </c>
      <c r="DL226" s="199" t="e">
        <f>TRUNC(RIGHT(DK226))</f>
        <v>#VALUE!</v>
      </c>
      <c r="DM226" s="195" t="e">
        <f>IF(DL226=1,"",DL226)</f>
        <v>#VALUE!</v>
      </c>
      <c r="DN226" s="195"/>
      <c r="DO226" s="200" t="e">
        <f>IF(OR(DM226=0,DL226=1),"",IF(DL226=2,DO241,IF(DL226=3,DO242,IF(DL226=4,DO243,IF(DL226=5,DO244,IF(DL226=6,DO245,IF(DL226=7,DO246,IF(DL226=8,DO247,DO248))))))))</f>
        <v>#VALUE!</v>
      </c>
      <c r="DP226" s="195"/>
      <c r="DQ226" s="187"/>
    </row>
    <row r="227" spans="115:121" ht="12" customHeight="1" hidden="1">
      <c r="DK227" s="203" t="e">
        <f>TRUNC(DK229/10)</f>
        <v>#VALUE!</v>
      </c>
      <c r="DL227" s="199" t="e">
        <f>TRUNC(RIGHT(DK227))</f>
        <v>#VALUE!</v>
      </c>
      <c r="DM227" s="195" t="e">
        <f>IF(DL226=1,DL227+10,IF(DL227=0,0,DL227))</f>
        <v>#VALUE!</v>
      </c>
      <c r="DN227" s="195" t="e">
        <f>IF(AND(DM227&gt;9,DM227&lt;16),IF(DM227=10,DN240,IF(DM227=11,DN241,IF(DM227=12,DN242,IF(DM227=13,DN243,IF(DM227=14,DN244,IF(DM227=15,DN245,)))))),"")</f>
        <v>#VALUE!</v>
      </c>
      <c r="DO227" s="200" t="e">
        <f>IF(DL227=1,DK240,IF(DL227=2,DK241,IF(DL227=3,DK242,IF(DL227=4,DK243,IF(DL227=5,DK244,IF(DL227=6,DK245,IF(DL227=7,DK246,IF(DL227=8,DK247,DK248))))))))</f>
        <v>#VALUE!</v>
      </c>
      <c r="DP227" s="195" t="e">
        <f>IF(AND(DM227&gt;15,DM227&lt;20),IF(DM227=16,DN246,IF(DM227=17,DN247,IF(DM227=18,DN248,IF(DM227=19,DN249,)))),"")</f>
        <v>#VALUE!</v>
      </c>
      <c r="DQ227" s="195"/>
    </row>
    <row r="228" spans="115:121" ht="12" customHeight="1" hidden="1">
      <c r="DK228" s="203"/>
      <c r="DL228" s="199"/>
      <c r="DM228" s="195"/>
      <c r="DN228" s="195"/>
      <c r="DO228" s="195" t="e">
        <f>DL227+DL226*10+DL225*100</f>
        <v>#VALUE!</v>
      </c>
      <c r="DP228" s="195" t="e">
        <f>IF(DO228=0,"",IF(DL226=1,"миллионов ",IF(DL227=1,"миллион ",IF(OR(DL227=2,DL227=3,DL227=4),"миллиона ","миллионов "))))</f>
        <v>#VALUE!</v>
      </c>
      <c r="DQ228" s="195"/>
    </row>
    <row r="229" spans="115:121" ht="12" customHeight="1" hidden="1">
      <c r="DK229" s="203" t="e">
        <f>TRUNC(DK230/10)</f>
        <v>#VALUE!</v>
      </c>
      <c r="DL229" s="199" t="e">
        <f>TRUNC(RIGHT(DK229))</f>
        <v>#VALUE!</v>
      </c>
      <c r="DM229" s="195" t="e">
        <f>DL229</f>
        <v>#VALUE!</v>
      </c>
      <c r="DN229" s="195"/>
      <c r="DO229" s="195" t="e">
        <f>IF(DL229=1,DO249,IF(DL229=2,DQ241,IF(DL229=3,DQ242,IF(DL229=4,DQ243,IF(DL229=5,DQ244,IF(DL229=6,DQ245,IF(DL229=7,DQ246,IF(DL229=8,DQ247,DQ248))))))))</f>
        <v>#VALUE!</v>
      </c>
      <c r="DP229" s="195"/>
      <c r="DQ229" s="195"/>
    </row>
    <row r="230" spans="115:121" ht="12" customHeight="1" hidden="1">
      <c r="DK230" s="203" t="e">
        <f>TRUNC(DK231/10)</f>
        <v>#VALUE!</v>
      </c>
      <c r="DL230" s="199" t="e">
        <f>TRUNC(RIGHT(DK230))</f>
        <v>#VALUE!</v>
      </c>
      <c r="DM230" s="195" t="e">
        <f>IF(DL230=1,"",DL230)</f>
        <v>#VALUE!</v>
      </c>
      <c r="DN230" s="195"/>
      <c r="DO230" s="200" t="e">
        <f>IF(OR(DM230=0,DL230=1),"",IF(DL230=2,DO241,IF(DL230=3,DO242,IF(DL230=4,DO243,IF(DL230=5,DO244,IF(DL230=6,DO245,IF(DL230=7,DO246,IF(DL230=8,DO247,DO248))))))))</f>
        <v>#VALUE!</v>
      </c>
      <c r="DP230" s="195"/>
      <c r="DQ230" s="195"/>
    </row>
    <row r="231" spans="115:121" ht="12" customHeight="1" hidden="1">
      <c r="DK231" s="203" t="e">
        <f>TRUNC(DK233/10)</f>
        <v>#VALUE!</v>
      </c>
      <c r="DL231" s="199" t="e">
        <f>TRUNC(RIGHT(DK231))</f>
        <v>#VALUE!</v>
      </c>
      <c r="DM231" s="195" t="e">
        <f>IF(DL230=1,DL231+10,IF(DL231=0,0,DL231))</f>
        <v>#VALUE!</v>
      </c>
      <c r="DN231" s="195" t="e">
        <f>IF(AND(DM231&gt;9,DM231&lt;16),IF(DM231=10,DN240,IF(DM231=11,DN241,IF(DM231=12,DN242,IF(DM231=13,DN243,IF(DM231=14,DN244,IF(DM231=15,DN245,)))))),"")</f>
        <v>#VALUE!</v>
      </c>
      <c r="DO231" s="200" t="e">
        <f>IF(DL231=1,DL240,IF(DL231=2,DL241,IF(DL231=3,DK242,IF(DL231=4,DK243,IF(DL231=5,DK244,IF(DL231=6,DK245,IF(DL231=7,DK246,IF(DL231=8,DK247,DK248))))))))</f>
        <v>#VALUE!</v>
      </c>
      <c r="DP231" s="195" t="e">
        <f>IF(AND(DM231&gt;15,DM231&lt;20),IF(DM231=16,DN246,IF(DM231=17,DN247,IF(DM231=18,DN248,IF(DM231=19,DN249,)))),"")</f>
        <v>#VALUE!</v>
      </c>
      <c r="DQ231" s="195"/>
    </row>
    <row r="232" spans="115:121" ht="12" customHeight="1" hidden="1">
      <c r="DK232" s="203"/>
      <c r="DL232" s="199"/>
      <c r="DM232" s="195"/>
      <c r="DN232" s="195"/>
      <c r="DO232" s="200" t="e">
        <f>DL229*100+DL230*10+DL231</f>
        <v>#VALUE!</v>
      </c>
      <c r="DP232" s="195" t="e">
        <f>IF(DO232=0,"",IF(DL230=1,"тысяч ",IF(DL231=1,"тысяча ",IF(OR(DL231=2,DL231=3,DL231=4),"тысячи ","тысяч "))))</f>
        <v>#VALUE!</v>
      </c>
      <c r="DQ232" s="195"/>
    </row>
    <row r="233" spans="115:121" ht="12" customHeight="1" hidden="1">
      <c r="DK233" s="203" t="e">
        <f>TRUNC(DK234/10)</f>
        <v>#VALUE!</v>
      </c>
      <c r="DL233" s="199" t="e">
        <f>TRUNC(RIGHT(DK233))</f>
        <v>#VALUE!</v>
      </c>
      <c r="DM233" s="195" t="e">
        <f>DL233</f>
        <v>#VALUE!</v>
      </c>
      <c r="DN233" s="195"/>
      <c r="DO233" s="195" t="e">
        <f>IF(DL233=1,DO249,IF(DL233=2,DQ241,IF(DL233=3,DQ242,IF(DL233=4,DQ243,IF(DL233=5,DQ244,IF(DL233=6,DQ245,IF(DL233=7,DQ246,IF(DL233=8,DQ247,DQ248))))))))</f>
        <v>#VALUE!</v>
      </c>
      <c r="DP233" s="195"/>
      <c r="DQ233" s="195"/>
    </row>
    <row r="234" spans="115:121" ht="12" customHeight="1" hidden="1">
      <c r="DK234" s="203" t="e">
        <f>TRUNC(DK235/10)</f>
        <v>#VALUE!</v>
      </c>
      <c r="DL234" s="204" t="e">
        <f>TRUNC(RIGHT(DK234))</f>
        <v>#VALUE!</v>
      </c>
      <c r="DM234" s="195" t="e">
        <f>IF(DL234=1,"",DL234)</f>
        <v>#VALUE!</v>
      </c>
      <c r="DN234" s="195"/>
      <c r="DO234" s="200" t="e">
        <f>IF(OR(DM234=0,DL234=1),"",IF(DM234=2,DO241,IF(DM234=3,DO242,IF(DM234=4,DO243,IF(DM234=5,DO244,IF(DM234=6,DO245,IF(DM234=7,DO246,IF(DM234=8,DO247,DO248))))))))</f>
        <v>#VALUE!</v>
      </c>
      <c r="DP234" s="195"/>
      <c r="DQ234" s="199"/>
    </row>
    <row r="235" spans="115:121" ht="12" customHeight="1" hidden="1">
      <c r="DK235" s="203">
        <f>DO219</f>
      </c>
      <c r="DL235" s="199" t="e">
        <f>TRUNC(RIGHT(DK235))</f>
        <v>#VALUE!</v>
      </c>
      <c r="DM235" s="195" t="e">
        <f>IF(DL234=1,DL235+10,IF(DL235=0,0,DL235))</f>
        <v>#VALUE!</v>
      </c>
      <c r="DN235" s="195" t="e">
        <f>IF(AND(DM235&gt;9,DM235&lt;16),IF(DM235=10,DN240,IF(DM235=11,DN241,IF(DM235=12,DN242,IF(DM235=13,DN243,IF(DM235=14,DN244,IF(DM235=15,DN245,)))))),"")</f>
        <v>#VALUE!</v>
      </c>
      <c r="DO235" s="200" t="e">
        <f>IF(DL235=1,DK240,IF(DL235=2,DK241,IF(DL235=3,DK242,IF(DL235=4,DK243,IF(DL235=5,DK244,IF(DL235=6,DK245,IF(DL235=7,DK246,IF(DL235=8,DK247,DK248))))))))</f>
        <v>#VALUE!</v>
      </c>
      <c r="DP235" s="195" t="e">
        <f>IF(AND(DM235&gt;15,DM235&lt;20),IF(DM235=16,DN246,IF(DM235=17,DN247,IF(DM235=18,DN248,IF(DM235=19,DN249,)))),"")</f>
        <v>#VALUE!</v>
      </c>
      <c r="DQ235" s="199"/>
    </row>
    <row r="236" spans="115:121" ht="12" customHeight="1" hidden="1">
      <c r="DK236" s="201"/>
      <c r="DL236" s="204"/>
      <c r="DM236" s="199"/>
      <c r="DN236" s="195"/>
      <c r="DO236" s="200" t="e">
        <f>DL233*100+DL234*10+DL235</f>
        <v>#VALUE!</v>
      </c>
      <c r="DP236" s="195" t="e">
        <f>IF(DO236+DO232+DO228+DO224=0,"ноль рублей ",IF(DM235=1,"рубль ",IF(OR(DM235=2,DM235=3,DM235=4),"рубля ","рублей ")))</f>
        <v>#VALUE!</v>
      </c>
      <c r="DQ236" s="199"/>
    </row>
    <row r="237" spans="115:121" ht="12" customHeight="1" hidden="1">
      <c r="DK237" s="205" t="e">
        <f>ROUND(100*(DO208-DO219),0)</f>
        <v>#VALUE!</v>
      </c>
      <c r="DL237" s="195"/>
      <c r="DM237" s="199" t="e">
        <f>TRUNC(DK237/10)</f>
        <v>#VALUE!</v>
      </c>
      <c r="DN237" s="195"/>
      <c r="DO237" s="200" t="e">
        <f>IF(OR(DM237=1,DM237=0),"",IF(DM237=2,DO241,IF(DM237=3,DO242,IF(DM237=4,DO243,IF(DM237=5,DO244,IF(DM237=6,DO245,IF(DM237=7,DO246,IF(DM237=8,DO247,DO248))))))))</f>
        <v>#VALUE!</v>
      </c>
      <c r="DP237" s="195"/>
      <c r="DQ237" s="195"/>
    </row>
    <row r="238" spans="115:121" ht="12" customHeight="1">
      <c r="DK238" s="195"/>
      <c r="DL238" s="195"/>
      <c r="DM238" s="199" t="e">
        <f>TRUNC(DK237-DM237*10)</f>
        <v>#VALUE!</v>
      </c>
      <c r="DN238" s="195"/>
      <c r="DO238" s="200" t="e">
        <f>IF(DM238=1,DL240,IF(DM238=2,DL241,IF(DM238=3,DK242,IF(DM238=4,DK243,IF(DM238=5,DK244,IF(DM238=6,DK245,IF(DM238=7,DK246,IF(DM238=8,DK247,DK248))))))))</f>
        <v>#VALUE!</v>
      </c>
      <c r="DP238" s="195"/>
      <c r="DQ238" s="195"/>
    </row>
    <row r="239" spans="115:121" ht="12" customHeight="1">
      <c r="DK239" s="195"/>
      <c r="DL239" s="195"/>
      <c r="DM239" s="195"/>
      <c r="DN239" s="195"/>
      <c r="DO239" s="195"/>
      <c r="DP239" s="195" t="s">
        <v>131</v>
      </c>
      <c r="DQ239" s="195"/>
    </row>
    <row r="240" spans="115:121" ht="12" customHeight="1">
      <c r="DK240" s="195" t="s">
        <v>49</v>
      </c>
      <c r="DL240" s="195" t="s">
        <v>50</v>
      </c>
      <c r="DM240" s="195"/>
      <c r="DN240" s="195" t="s">
        <v>51</v>
      </c>
      <c r="DO240" s="195"/>
      <c r="DP240" s="195"/>
      <c r="DQ240" s="195"/>
    </row>
    <row r="241" spans="114:123" ht="12" customHeight="1">
      <c r="DJ241" s="181"/>
      <c r="DK241" s="195" t="s">
        <v>52</v>
      </c>
      <c r="DL241" s="195" t="s">
        <v>53</v>
      </c>
      <c r="DM241" s="195"/>
      <c r="DN241" s="195" t="s">
        <v>54</v>
      </c>
      <c r="DO241" s="195" t="s">
        <v>55</v>
      </c>
      <c r="DP241" s="195"/>
      <c r="DQ241" s="195" t="s">
        <v>56</v>
      </c>
      <c r="DR241" s="181"/>
      <c r="DS241" s="181"/>
    </row>
    <row r="242" spans="114:123" ht="12" customHeight="1">
      <c r="DJ242" s="181"/>
      <c r="DK242" s="195" t="s">
        <v>57</v>
      </c>
      <c r="DL242" s="195"/>
      <c r="DM242" s="195"/>
      <c r="DN242" s="195" t="s">
        <v>58</v>
      </c>
      <c r="DO242" s="195" t="s">
        <v>59</v>
      </c>
      <c r="DP242" s="195"/>
      <c r="DQ242" s="195" t="s">
        <v>60</v>
      </c>
      <c r="DR242" s="181"/>
      <c r="DS242" s="181"/>
    </row>
    <row r="243" spans="114:123" ht="12" customHeight="1">
      <c r="DJ243" s="181"/>
      <c r="DK243" s="195" t="s">
        <v>61</v>
      </c>
      <c r="DL243" s="195"/>
      <c r="DM243" s="195"/>
      <c r="DN243" s="195" t="s">
        <v>62</v>
      </c>
      <c r="DO243" s="195" t="s">
        <v>63</v>
      </c>
      <c r="DP243" s="195"/>
      <c r="DQ243" s="195" t="s">
        <v>64</v>
      </c>
      <c r="DR243" s="181"/>
      <c r="DS243" s="181"/>
    </row>
    <row r="244" spans="114:123" ht="12" customHeight="1">
      <c r="DJ244" s="181"/>
      <c r="DK244" s="195" t="s">
        <v>65</v>
      </c>
      <c r="DL244" s="195"/>
      <c r="DM244" s="195"/>
      <c r="DN244" s="195" t="s">
        <v>66</v>
      </c>
      <c r="DO244" s="195" t="s">
        <v>67</v>
      </c>
      <c r="DP244" s="195"/>
      <c r="DQ244" s="195" t="s">
        <v>68</v>
      </c>
      <c r="DR244" s="181"/>
      <c r="DS244" s="181"/>
    </row>
    <row r="245" spans="114:123" ht="12" customHeight="1">
      <c r="DJ245" s="181"/>
      <c r="DK245" s="195" t="s">
        <v>69</v>
      </c>
      <c r="DL245" s="195"/>
      <c r="DM245" s="195"/>
      <c r="DN245" s="195" t="s">
        <v>70</v>
      </c>
      <c r="DO245" s="195" t="s">
        <v>71</v>
      </c>
      <c r="DP245" s="195"/>
      <c r="DQ245" s="195" t="s">
        <v>72</v>
      </c>
      <c r="DR245" s="181"/>
      <c r="DS245" s="181"/>
    </row>
    <row r="246" spans="114:123" ht="12" customHeight="1">
      <c r="DJ246" s="181"/>
      <c r="DK246" s="195" t="s">
        <v>73</v>
      </c>
      <c r="DL246" s="195"/>
      <c r="DM246" s="195"/>
      <c r="DN246" s="195" t="s">
        <v>74</v>
      </c>
      <c r="DO246" s="195" t="s">
        <v>75</v>
      </c>
      <c r="DP246" s="195"/>
      <c r="DQ246" s="195" t="s">
        <v>76</v>
      </c>
      <c r="DR246" s="181"/>
      <c r="DS246" s="181"/>
    </row>
    <row r="247" spans="114:123" ht="12" customHeight="1">
      <c r="DJ247" s="181"/>
      <c r="DK247" s="206" t="s">
        <v>77</v>
      </c>
      <c r="DL247" s="195"/>
      <c r="DM247" s="195"/>
      <c r="DN247" s="195" t="s">
        <v>78</v>
      </c>
      <c r="DO247" s="195" t="s">
        <v>79</v>
      </c>
      <c r="DP247" s="195"/>
      <c r="DQ247" s="195" t="s">
        <v>80</v>
      </c>
      <c r="DR247" s="181"/>
      <c r="DS247" s="181"/>
    </row>
    <row r="248" spans="114:123" ht="12" customHeight="1">
      <c r="DJ248" s="181"/>
      <c r="DK248" s="195" t="s">
        <v>81</v>
      </c>
      <c r="DL248" s="195"/>
      <c r="DM248" s="195"/>
      <c r="DN248" s="195" t="s">
        <v>82</v>
      </c>
      <c r="DO248" s="195" t="s">
        <v>83</v>
      </c>
      <c r="DP248" s="195"/>
      <c r="DQ248" s="195" t="s">
        <v>84</v>
      </c>
      <c r="DR248" s="181"/>
      <c r="DS248" s="181"/>
    </row>
    <row r="249" spans="114:123" ht="12" customHeight="1">
      <c r="DJ249" s="181"/>
      <c r="DK249" s="195"/>
      <c r="DL249" s="195"/>
      <c r="DM249" s="195"/>
      <c r="DN249" s="195" t="s">
        <v>85</v>
      </c>
      <c r="DO249" s="195" t="s">
        <v>86</v>
      </c>
      <c r="DP249" s="195"/>
      <c r="DQ249" s="195"/>
      <c r="DR249" s="181"/>
      <c r="DS249" s="181"/>
    </row>
    <row r="250" spans="114:123" ht="12" customHeight="1">
      <c r="DJ250" s="181"/>
      <c r="DK250" s="187"/>
      <c r="DL250" s="188"/>
      <c r="DM250" s="188"/>
      <c r="DN250" s="188"/>
      <c r="DO250" s="189">
        <f>AU46</f>
        <v>864</v>
      </c>
      <c r="DP250" s="187"/>
      <c r="DQ250" s="190"/>
      <c r="DR250" s="181"/>
      <c r="DS250" s="181"/>
    </row>
    <row r="251" spans="114:123" ht="12" customHeight="1">
      <c r="DJ251" s="181"/>
      <c r="DK251" s="191" t="s">
        <v>44</v>
      </c>
      <c r="DL251" s="192" t="str">
        <f>SUBSTITUTE(DL253,DP257,DP258,1)</f>
        <v>Восемьсот шестьдесят четыре рубля </v>
      </c>
      <c r="DM251" s="191"/>
      <c r="DN251" s="191"/>
      <c r="DO251" s="193"/>
      <c r="DP251" s="191"/>
      <c r="DQ251" s="191"/>
      <c r="DR251" s="181"/>
      <c r="DS251" s="181"/>
    </row>
    <row r="252" spans="114:123" ht="12" customHeight="1">
      <c r="DJ252" s="181"/>
      <c r="DK252" s="191" t="s">
        <v>45</v>
      </c>
      <c r="DL252" s="192" t="str">
        <f>SUBSTITUTE(DL254,DP257,DP258,1)</f>
        <v>Восемьсот шестьдесят четыре рубля </v>
      </c>
      <c r="DM252" s="191"/>
      <c r="DN252" s="191"/>
      <c r="DO252" s="191"/>
      <c r="DP252" s="191"/>
      <c r="DQ252" s="191"/>
      <c r="DR252" s="181"/>
      <c r="DS252" s="181"/>
    </row>
    <row r="253" spans="115:123" ht="12" customHeight="1">
      <c r="DK253" s="191" t="s">
        <v>46</v>
      </c>
      <c r="DL253" s="192" t="str">
        <f>CONCATENATE(DK256,DK257,DK258,DK259,DK260)</f>
        <v>восемьсот шестьдесят четыре рубля </v>
      </c>
      <c r="DM253" s="191"/>
      <c r="DN253" s="191"/>
      <c r="DO253" s="191"/>
      <c r="DP253" s="191"/>
      <c r="DQ253" s="191"/>
      <c r="DR253" s="191"/>
      <c r="DS253" s="192"/>
    </row>
    <row r="254" spans="115:123" ht="12" customHeight="1">
      <c r="DK254" s="191" t="s">
        <v>47</v>
      </c>
      <c r="DL254" s="192" t="str">
        <f>CONCATENATE(DK256,DK257,DK258,DK259,DK260,DL256,DL257,DM257)</f>
        <v>восемьсот шестьдесят четыре рубля </v>
      </c>
      <c r="DM254" s="191"/>
      <c r="DN254" s="191"/>
      <c r="DO254" s="191"/>
      <c r="DP254" s="192"/>
      <c r="DQ254" s="192"/>
      <c r="DR254" s="191"/>
      <c r="DS254" s="192"/>
    </row>
    <row r="255" spans="115:123" ht="12" customHeight="1">
      <c r="DK255" s="187"/>
      <c r="DL255" s="187"/>
      <c r="DM255" s="187"/>
      <c r="DN255" s="194"/>
      <c r="DO255" s="187"/>
      <c r="DP255" s="187"/>
      <c r="DQ255" s="187"/>
      <c r="DR255" s="191"/>
      <c r="DS255" s="192"/>
    </row>
    <row r="256" spans="115:123" ht="12" customHeight="1">
      <c r="DK256" s="195">
        <f>CONCATENATE(IF(DL263=0,"",DO263),IF(DL264=0,"",IF(DM265&lt;20,IF(DM265&lt;16,IF(DM265&lt;10,DO264,DN265),DP265),DO264)),IF(DL265=0,"",IF(NOT(DL264=1),DO265,"")),DP266)</f>
      </c>
      <c r="DL256" s="187"/>
      <c r="DM256" s="187"/>
      <c r="DN256" s="194"/>
      <c r="DO256" s="187"/>
      <c r="DP256" s="196">
        <f>CODE(DL254)</f>
        <v>226</v>
      </c>
      <c r="DQ256" s="195"/>
      <c r="DR256" s="187"/>
      <c r="DS256" s="187"/>
    </row>
    <row r="257" spans="115:121" ht="12" customHeight="1">
      <c r="DK257" s="195">
        <f>CONCATENATE(IF(DL267=0,"",DO267),IF(DL268=0,"",IF(DM269&lt;20,IF(DM269&lt;16,IF(DM269&lt;10,DO268,DN269),DP269),DO268)),IF(DL269=0,"",IF(NOT(DL268=1),DO269,"")),DP270)</f>
      </c>
      <c r="DL257" s="197"/>
      <c r="DM257" s="187"/>
      <c r="DN257" s="198"/>
      <c r="DO257" s="187"/>
      <c r="DP257" s="196" t="str">
        <f>CHAR(DP256)</f>
        <v>в</v>
      </c>
      <c r="DQ257" s="195"/>
    </row>
    <row r="258" spans="115:121" ht="12" customHeight="1">
      <c r="DK258" s="195">
        <f>CONCATENATE(IF(DL271=0,"",DO271),IF(DL272=0,"",IF(DM273&lt;20,IF(DM273&lt;16,IF(DM273&lt;10,DO272,DN273),DP273),DO272)),IF(DL273=0,"",IF(NOT(DL272=1),DO273,"")),DP274)</f>
      </c>
      <c r="DL258" s="195"/>
      <c r="DM258" s="195"/>
      <c r="DN258" s="199"/>
      <c r="DO258" s="200"/>
      <c r="DP258" s="196" t="str">
        <f>PROPER(DP257)</f>
        <v>В</v>
      </c>
      <c r="DQ258" s="195"/>
    </row>
    <row r="259" spans="115:121" ht="12" customHeight="1">
      <c r="DK259" s="195" t="str">
        <f>CONCATENATE(IF(DL275=0,"",DO275),IF(DL276=0,"",IF(DM277&lt;20,IF(DM277&lt;16,IF(DM277&lt;10,DO276,DN277),DP277),DO276)),IF(DL277=0,"",IF(NOT(DL276=1),DO277,"")),DP278)</f>
        <v>восемьсот шестьдесят четыре рубля </v>
      </c>
      <c r="DL259" s="195"/>
      <c r="DM259" s="195"/>
      <c r="DN259" s="199"/>
      <c r="DO259" s="200"/>
      <c r="DP259" s="195"/>
      <c r="DQ259" s="195"/>
    </row>
    <row r="260" spans="115:121" ht="12" customHeight="1">
      <c r="DK260" s="201"/>
      <c r="DL260" s="195"/>
      <c r="DM260" s="195"/>
      <c r="DN260" s="199"/>
      <c r="DO260" s="200"/>
      <c r="DP260" s="195"/>
      <c r="DQ260" s="195"/>
    </row>
    <row r="261" spans="115:121" ht="12" customHeight="1">
      <c r="DK261" s="201"/>
      <c r="DL261" s="195"/>
      <c r="DM261" s="195"/>
      <c r="DN261" s="195"/>
      <c r="DO261" s="202">
        <f>TRUNC(DO250)</f>
        <v>864</v>
      </c>
      <c r="DP261" s="195" t="s">
        <v>48</v>
      </c>
      <c r="DQ261" s="195"/>
    </row>
    <row r="262" spans="115:121" ht="12" customHeight="1">
      <c r="DK262" s="203">
        <f>TRUNC(DK263/10)</f>
        <v>0</v>
      </c>
      <c r="DL262" s="199"/>
      <c r="DM262" s="195"/>
      <c r="DN262" s="195"/>
      <c r="DO262" s="195"/>
      <c r="DP262" s="195"/>
      <c r="DQ262" s="195"/>
    </row>
    <row r="263" spans="115:121" ht="12" customHeight="1">
      <c r="DK263" s="203">
        <f>TRUNC(DK264/10)</f>
        <v>0</v>
      </c>
      <c r="DL263" s="199">
        <f>TRUNC(RIGHT(DK263))</f>
        <v>0</v>
      </c>
      <c r="DM263" s="195">
        <f>DL263</f>
        <v>0</v>
      </c>
      <c r="DN263" s="195"/>
      <c r="DO263" s="195" t="str">
        <f>IF(DL263=1,DO291,IF(DL263=2,DQ283,IF(DL263=3,DQ284,IF(DL263=4,DQ285,IF(DL263=5,DQ286,IF(DL263=6,DQ287,IF(DL263=7,DQ288,IF(DL263=8,DQ289,DQ290))))))))</f>
        <v>девятьсот </v>
      </c>
      <c r="DP263" s="195"/>
      <c r="DQ263" s="195"/>
    </row>
    <row r="264" spans="115:121" ht="12" customHeight="1">
      <c r="DK264" s="203">
        <f>TRUNC(DK265/10)</f>
        <v>0</v>
      </c>
      <c r="DL264" s="199">
        <f>TRUNC(RIGHT(DK264))</f>
        <v>0</v>
      </c>
      <c r="DM264" s="195">
        <f>IF(DL264=1,"",DL264)</f>
        <v>0</v>
      </c>
      <c r="DN264" s="195"/>
      <c r="DO264" s="200">
        <f>IF(OR(DM264=0,DL264=1),"",IF(DL264=2,DO283,IF(DL264=3,DO284,IF(DL264=4,DO285,IF(DL264=5,DO286,IF(DL264=6,DO287,IF(DL264=7,DO288,IF(DL264=8,DO289,DO290))))))))</f>
      </c>
      <c r="DP264" s="195"/>
      <c r="DQ264" s="195"/>
    </row>
    <row r="265" spans="115:121" ht="12" customHeight="1">
      <c r="DK265" s="203">
        <f>TRUNC(DK267/10)</f>
        <v>0</v>
      </c>
      <c r="DL265" s="199">
        <f>TRUNC(RIGHT(DK265))</f>
        <v>0</v>
      </c>
      <c r="DM265" s="195">
        <f>IF(DL264=1,DL265+10,IF(DL265=0,0,DL265))</f>
        <v>0</v>
      </c>
      <c r="DN265" s="195">
        <f>IF(AND(DM265&gt;9,DM265&lt;16),IF(DM265=10,DN282,IF(DM265=11,DN283,IF(DM265=12,DN284,IF(DM265=13,DN285,IF(DM265=14,DN286,IF(DM265=15,DN287,)))))),"")</f>
      </c>
      <c r="DO265" s="200" t="str">
        <f>IF(DL265=1,DK282,IF(DL265=2,DK283,IF(DL265=3,DK284,IF(DL265=4,DK285,IF(DL265=5,DK286,IF(DL265=6,DK287,IF(DL265=7,DK288,IF(DL265=8,DK289,DK290))))))))</f>
        <v>девять </v>
      </c>
      <c r="DP265" s="195">
        <f>IF(AND(DM265&gt;15,DM265&lt;20),IF(DM265=16,DN288,IF(DM265=17,DN289,IF(DM265=18,DN290,IF(DM265=19,DN291,)))),"")</f>
      </c>
      <c r="DQ265" s="195"/>
    </row>
    <row r="266" spans="115:121" ht="12" customHeight="1">
      <c r="DK266" s="203"/>
      <c r="DL266" s="199"/>
      <c r="DM266" s="195"/>
      <c r="DN266" s="199"/>
      <c r="DO266" s="195">
        <f>DL265+DL264*10+DL263*100</f>
        <v>0</v>
      </c>
      <c r="DP266" s="195">
        <f>IF(DO266=0,"",IF(DL264=1,"миллиардов ",IF(DL265=1,"миллиард ",IF(OR(DL265=2,DL265=3,DL265=4),"миллиарда ","миллиардов "))))</f>
      </c>
      <c r="DQ266" s="195"/>
    </row>
    <row r="267" spans="115:121" ht="12" customHeight="1">
      <c r="DK267" s="203">
        <f>TRUNC(DK268/10)</f>
        <v>0</v>
      </c>
      <c r="DL267" s="199">
        <f>TRUNC(RIGHT(DK267))</f>
        <v>0</v>
      </c>
      <c r="DM267" s="195">
        <f>DL267</f>
        <v>0</v>
      </c>
      <c r="DN267" s="195"/>
      <c r="DO267" s="195" t="str">
        <f>IF(DL267=1,DO291,IF(DL267=2,DQ283,IF(DL267=3,DQ284,IF(DL267=4,DQ285,IF(DL267=5,DQ286,IF(DL267=6,DQ287,IF(DL267=7,DQ288,IF(DL267=8,DQ289,DQ290))))))))</f>
        <v>девятьсот </v>
      </c>
      <c r="DP267" s="195"/>
      <c r="DQ267" s="195"/>
    </row>
    <row r="268" spans="115:121" ht="12" customHeight="1">
      <c r="DK268" s="203">
        <f>TRUNC(DK269/10)</f>
        <v>0</v>
      </c>
      <c r="DL268" s="199">
        <f>TRUNC(RIGHT(DK268))</f>
        <v>0</v>
      </c>
      <c r="DM268" s="195">
        <f>IF(DL268=1,"",DL268)</f>
        <v>0</v>
      </c>
      <c r="DN268" s="195"/>
      <c r="DO268" s="200">
        <f>IF(OR(DM268=0,DL268=1),"",IF(DL268=2,DO283,IF(DL268=3,DO284,IF(DL268=4,DO285,IF(DL268=5,DO286,IF(DL268=6,DO287,IF(DL268=7,DO288,IF(DL268=8,DO289,DO290))))))))</f>
      </c>
      <c r="DP268" s="195"/>
      <c r="DQ268" s="187"/>
    </row>
    <row r="269" spans="115:121" ht="12" customHeight="1">
      <c r="DK269" s="203">
        <f>TRUNC(DK271/10)</f>
        <v>0</v>
      </c>
      <c r="DL269" s="199">
        <f>TRUNC(RIGHT(DK269))</f>
        <v>0</v>
      </c>
      <c r="DM269" s="195">
        <f>IF(DL268=1,DL269+10,IF(DL269=0,0,DL269))</f>
        <v>0</v>
      </c>
      <c r="DN269" s="195">
        <f>IF(AND(DM269&gt;9,DM269&lt;16),IF(DM269=10,DN282,IF(DM269=11,DN283,IF(DM269=12,DN284,IF(DM269=13,DN285,IF(DM269=14,DN286,IF(DM269=15,DN287,)))))),"")</f>
      </c>
      <c r="DO269" s="200" t="str">
        <f>IF(DL269=1,DK282,IF(DL269=2,DK283,IF(DL269=3,DK284,IF(DL269=4,DK285,IF(DL269=5,DK286,IF(DL269=6,DK287,IF(DL269=7,DK288,IF(DL269=8,DK289,DK290))))))))</f>
        <v>девять </v>
      </c>
      <c r="DP269" s="195">
        <f>IF(AND(DM269&gt;15,DM269&lt;20),IF(DM269=16,DN288,IF(DM269=17,DN289,IF(DM269=18,DN290,IF(DM269=19,DN291,)))),"")</f>
      </c>
      <c r="DQ269" s="195"/>
    </row>
    <row r="270" spans="115:121" ht="12" customHeight="1">
      <c r="DK270" s="203"/>
      <c r="DL270" s="199"/>
      <c r="DM270" s="195"/>
      <c r="DN270" s="195"/>
      <c r="DO270" s="195">
        <f>DL269+DL268*10+DL267*100</f>
        <v>0</v>
      </c>
      <c r="DP270" s="195">
        <f>IF(DO270=0,"",IF(DL268=1,"миллионов ",IF(DL269=1,"миллион ",IF(OR(DL269=2,DL269=3,DL269=4),"миллиона ","миллионов "))))</f>
      </c>
      <c r="DQ270" s="195"/>
    </row>
    <row r="271" spans="115:121" ht="12" customHeight="1">
      <c r="DK271" s="203">
        <f>TRUNC(DK272/10)</f>
        <v>0</v>
      </c>
      <c r="DL271" s="199">
        <f>TRUNC(RIGHT(DK271))</f>
        <v>0</v>
      </c>
      <c r="DM271" s="195">
        <f>DL271</f>
        <v>0</v>
      </c>
      <c r="DN271" s="195"/>
      <c r="DO271" s="195" t="str">
        <f>IF(DL271=1,DO291,IF(DL271=2,DQ283,IF(DL271=3,DQ284,IF(DL271=4,DQ285,IF(DL271=5,DQ286,IF(DL271=6,DQ287,IF(DL271=7,DQ288,IF(DL271=8,DQ289,DQ290))))))))</f>
        <v>девятьсот </v>
      </c>
      <c r="DP271" s="195"/>
      <c r="DQ271" s="195"/>
    </row>
    <row r="272" spans="115:121" ht="12" customHeight="1">
      <c r="DK272" s="203">
        <f>TRUNC(DK273/10)</f>
        <v>0</v>
      </c>
      <c r="DL272" s="199">
        <f>TRUNC(RIGHT(DK272))</f>
        <v>0</v>
      </c>
      <c r="DM272" s="195">
        <f>IF(DL272=1,"",DL272)</f>
        <v>0</v>
      </c>
      <c r="DN272" s="195"/>
      <c r="DO272" s="200">
        <f>IF(OR(DM272=0,DL272=1),"",IF(DL272=2,DO283,IF(DL272=3,DO284,IF(DL272=4,DO285,IF(DL272=5,DO286,IF(DL272=6,DO287,IF(DL272=7,DO288,IF(DL272=8,DO289,DO290))))))))</f>
      </c>
      <c r="DP272" s="195"/>
      <c r="DQ272" s="195"/>
    </row>
    <row r="273" spans="115:121" ht="12" customHeight="1">
      <c r="DK273" s="203">
        <f>TRUNC(DK275/10)</f>
        <v>0</v>
      </c>
      <c r="DL273" s="199">
        <f>TRUNC(RIGHT(DK273))</f>
        <v>0</v>
      </c>
      <c r="DM273" s="195">
        <f>IF(DL272=1,DL273+10,IF(DL273=0,0,DL273))</f>
        <v>0</v>
      </c>
      <c r="DN273" s="195">
        <f>IF(AND(DM273&gt;9,DM273&lt;16),IF(DM273=10,DN282,IF(DM273=11,DN283,IF(DM273=12,DN284,IF(DM273=13,DN285,IF(DM273=14,DN286,IF(DM273=15,DN287,)))))),"")</f>
      </c>
      <c r="DO273" s="200" t="str">
        <f>IF(DL273=1,DL282,IF(DL273=2,DL283,IF(DL273=3,DK284,IF(DL273=4,DK285,IF(DL273=5,DK286,IF(DL273=6,DK287,IF(DL273=7,DK288,IF(DL273=8,DK289,DK290))))))))</f>
        <v>девять </v>
      </c>
      <c r="DP273" s="195">
        <f>IF(AND(DM273&gt;15,DM273&lt;20),IF(DM273=16,DN288,IF(DM273=17,DN289,IF(DM273=18,DN290,IF(DM273=19,DN291,)))),"")</f>
      </c>
      <c r="DQ273" s="195"/>
    </row>
    <row r="274" spans="115:121" ht="12" customHeight="1">
      <c r="DK274" s="203"/>
      <c r="DL274" s="199"/>
      <c r="DM274" s="195"/>
      <c r="DN274" s="195"/>
      <c r="DO274" s="200">
        <f>DL271*100+DL272*10+DL273</f>
        <v>0</v>
      </c>
      <c r="DP274" s="195">
        <f>IF(DO274=0,"",IF(DL272=1,"тысяч ",IF(DL273=1,"тысяча ",IF(OR(DL273=2,DL273=3,DL273=4),"тысячи ","тысяч "))))</f>
      </c>
      <c r="DQ274" s="195"/>
    </row>
    <row r="275" spans="115:121" ht="12" customHeight="1">
      <c r="DK275" s="203">
        <f>TRUNC(DK276/10)</f>
        <v>8</v>
      </c>
      <c r="DL275" s="199">
        <f>TRUNC(RIGHT(DK275))</f>
        <v>8</v>
      </c>
      <c r="DM275" s="195">
        <f>DL275</f>
        <v>8</v>
      </c>
      <c r="DN275" s="195"/>
      <c r="DO275" s="195" t="str">
        <f>IF(DL275=1,DO291,IF(DL275=2,DQ283,IF(DL275=3,DQ284,IF(DL275=4,DQ285,IF(DL275=5,DQ286,IF(DL275=6,DQ287,IF(DL275=7,DQ288,IF(DL275=8,DQ289,DQ290))))))))</f>
        <v>восемьсот </v>
      </c>
      <c r="DP275" s="195"/>
      <c r="DQ275" s="195"/>
    </row>
    <row r="276" spans="115:121" ht="12" customHeight="1">
      <c r="DK276" s="203">
        <f>TRUNC(DK277/10)</f>
        <v>86</v>
      </c>
      <c r="DL276" s="204">
        <f>TRUNC(RIGHT(DK276))</f>
        <v>6</v>
      </c>
      <c r="DM276" s="195">
        <f>IF(DL276=1,"",DL276)</f>
        <v>6</v>
      </c>
      <c r="DN276" s="195"/>
      <c r="DO276" s="200" t="str">
        <f>IF(OR(DM276=0,DL276=1),"",IF(DM276=2,DO283,IF(DM276=3,DO284,IF(DM276=4,DO285,IF(DM276=5,DO286,IF(DM276=6,DO287,IF(DM276=7,DO288,IF(DM276=8,DO289,DO290))))))))</f>
        <v>шестьдесят </v>
      </c>
      <c r="DP276" s="195"/>
      <c r="DQ276" s="199"/>
    </row>
    <row r="277" spans="115:121" ht="12" customHeight="1">
      <c r="DK277" s="203">
        <f>DO261</f>
        <v>864</v>
      </c>
      <c r="DL277" s="199">
        <f>TRUNC(RIGHT(DK277))</f>
        <v>4</v>
      </c>
      <c r="DM277" s="195">
        <f>IF(DL276=1,DL277+10,IF(DL277=0,0,DL277))</f>
        <v>4</v>
      </c>
      <c r="DN277" s="195">
        <f>IF(AND(DM277&gt;9,DM277&lt;16),IF(DM277=10,DN282,IF(DM277=11,DN283,IF(DM277=12,DN284,IF(DM277=13,DN285,IF(DM277=14,DN286,IF(DM277=15,DN287,)))))),"")</f>
      </c>
      <c r="DO277" s="200" t="str">
        <f>IF(DL277=1,DK282,IF(DL277=2,DK283,IF(DL277=3,DK284,IF(DL277=4,DK285,IF(DL277=5,DK286,IF(DL277=6,DK287,IF(DL277=7,DK288,IF(DL277=8,DK289,DK290))))))))</f>
        <v>четыре </v>
      </c>
      <c r="DP277" s="195">
        <f>IF(AND(DM277&gt;15,DM277&lt;20),IF(DM277=16,DN288,IF(DM277=17,DN289,IF(DM277=18,DN290,IF(DM277=19,DN291,)))),"")</f>
      </c>
      <c r="DQ277" s="199"/>
    </row>
    <row r="278" spans="115:121" ht="12" customHeight="1">
      <c r="DK278" s="201"/>
      <c r="DL278" s="204"/>
      <c r="DM278" s="199"/>
      <c r="DN278" s="195"/>
      <c r="DO278" s="200">
        <f>DL275*100+DL276*10+DL277</f>
        <v>864</v>
      </c>
      <c r="DP278" s="195" t="str">
        <f>IF(DO278+DO274+DO270+DO266=0,"ноль рублей ",IF(DM277=1,"рубль ",IF(OR(DM277=2,DM277=3,DM277=4),"рубля ","рублей ")))</f>
        <v>рубля </v>
      </c>
      <c r="DQ278" s="199"/>
    </row>
    <row r="279" spans="115:121" ht="12" customHeight="1">
      <c r="DK279" s="205">
        <f>ROUND(100*(DO250-DO261),0)</f>
        <v>0</v>
      </c>
      <c r="DL279" s="195"/>
      <c r="DM279" s="199">
        <f>TRUNC(DK279/10)</f>
        <v>0</v>
      </c>
      <c r="DN279" s="195"/>
      <c r="DO279" s="200">
        <f>IF(OR(DM279=1,DM279=0),"",IF(DM279=2,DO283,IF(DM279=3,DO284,IF(DM279=4,DO285,IF(DM279=5,DO286,IF(DM279=6,DO287,IF(DM279=7,DO288,IF(DM279=8,DO289,DO290))))))))</f>
      </c>
      <c r="DP279" s="195"/>
      <c r="DQ279" s="195"/>
    </row>
    <row r="280" spans="115:121" ht="12" customHeight="1">
      <c r="DK280" s="195"/>
      <c r="DL280" s="195"/>
      <c r="DM280" s="199">
        <f>TRUNC(DK279-DM279*10)</f>
        <v>0</v>
      </c>
      <c r="DN280" s="195"/>
      <c r="DO280" s="200" t="str">
        <f>IF(DM280=1,DL282,IF(DM280=2,DL283,IF(DM280=3,DK284,IF(DM280=4,DK285,IF(DM280=5,DK286,IF(DM280=6,DK287,IF(DM280=7,DK288,IF(DM280=8,DK289,DK290))))))))</f>
        <v>девять </v>
      </c>
      <c r="DP280" s="195"/>
      <c r="DQ280" s="195"/>
    </row>
    <row r="281" spans="115:121" ht="12" customHeight="1">
      <c r="DK281" s="195"/>
      <c r="DL281" s="195"/>
      <c r="DM281" s="195"/>
      <c r="DN281" s="195"/>
      <c r="DO281" s="195"/>
      <c r="DP281" s="195" t="s">
        <v>131</v>
      </c>
      <c r="DQ281" s="195"/>
    </row>
    <row r="282" spans="115:121" ht="12" customHeight="1">
      <c r="DK282" s="195" t="s">
        <v>49</v>
      </c>
      <c r="DL282" s="195" t="s">
        <v>50</v>
      </c>
      <c r="DM282" s="195"/>
      <c r="DN282" s="195" t="s">
        <v>51</v>
      </c>
      <c r="DO282" s="195"/>
      <c r="DP282" s="195"/>
      <c r="DQ282" s="195"/>
    </row>
    <row r="283" spans="115:121" ht="12" customHeight="1">
      <c r="DK283" s="195" t="s">
        <v>52</v>
      </c>
      <c r="DL283" s="195" t="s">
        <v>53</v>
      </c>
      <c r="DM283" s="195"/>
      <c r="DN283" s="195" t="s">
        <v>54</v>
      </c>
      <c r="DO283" s="195" t="s">
        <v>55</v>
      </c>
      <c r="DP283" s="195"/>
      <c r="DQ283" s="195" t="s">
        <v>56</v>
      </c>
    </row>
    <row r="284" spans="115:121" ht="12" customHeight="1">
      <c r="DK284" s="195" t="s">
        <v>57</v>
      </c>
      <c r="DL284" s="195"/>
      <c r="DM284" s="195"/>
      <c r="DN284" s="195" t="s">
        <v>58</v>
      </c>
      <c r="DO284" s="195" t="s">
        <v>59</v>
      </c>
      <c r="DP284" s="195"/>
      <c r="DQ284" s="195" t="s">
        <v>60</v>
      </c>
    </row>
    <row r="285" spans="115:121" ht="12" customHeight="1">
      <c r="DK285" s="195" t="s">
        <v>61</v>
      </c>
      <c r="DL285" s="195"/>
      <c r="DM285" s="195"/>
      <c r="DN285" s="195" t="s">
        <v>62</v>
      </c>
      <c r="DO285" s="195" t="s">
        <v>63</v>
      </c>
      <c r="DP285" s="195"/>
      <c r="DQ285" s="195" t="s">
        <v>64</v>
      </c>
    </row>
    <row r="286" spans="115:121" ht="12" customHeight="1">
      <c r="DK286" s="195" t="s">
        <v>65</v>
      </c>
      <c r="DL286" s="195"/>
      <c r="DM286" s="195"/>
      <c r="DN286" s="195" t="s">
        <v>66</v>
      </c>
      <c r="DO286" s="195" t="s">
        <v>67</v>
      </c>
      <c r="DP286" s="195"/>
      <c r="DQ286" s="195" t="s">
        <v>68</v>
      </c>
    </row>
    <row r="287" spans="115:121" ht="12" customHeight="1">
      <c r="DK287" s="195" t="s">
        <v>69</v>
      </c>
      <c r="DL287" s="195"/>
      <c r="DM287" s="195"/>
      <c r="DN287" s="195" t="s">
        <v>70</v>
      </c>
      <c r="DO287" s="195" t="s">
        <v>71</v>
      </c>
      <c r="DP287" s="195"/>
      <c r="DQ287" s="195" t="s">
        <v>72</v>
      </c>
    </row>
    <row r="288" spans="115:121" ht="12" customHeight="1">
      <c r="DK288" s="195" t="s">
        <v>73</v>
      </c>
      <c r="DL288" s="195"/>
      <c r="DM288" s="195"/>
      <c r="DN288" s="195" t="s">
        <v>74</v>
      </c>
      <c r="DO288" s="195" t="s">
        <v>75</v>
      </c>
      <c r="DP288" s="195"/>
      <c r="DQ288" s="195" t="s">
        <v>76</v>
      </c>
    </row>
    <row r="289" spans="115:121" ht="12" customHeight="1">
      <c r="DK289" s="206" t="s">
        <v>77</v>
      </c>
      <c r="DL289" s="195"/>
      <c r="DM289" s="195"/>
      <c r="DN289" s="195" t="s">
        <v>78</v>
      </c>
      <c r="DO289" s="195" t="s">
        <v>79</v>
      </c>
      <c r="DP289" s="195"/>
      <c r="DQ289" s="195" t="s">
        <v>80</v>
      </c>
    </row>
    <row r="290" spans="115:121" ht="12" customHeight="1">
      <c r="DK290" s="195" t="s">
        <v>81</v>
      </c>
      <c r="DL290" s="195"/>
      <c r="DM290" s="195"/>
      <c r="DN290" s="195" t="s">
        <v>82</v>
      </c>
      <c r="DO290" s="195" t="s">
        <v>83</v>
      </c>
      <c r="DP290" s="195"/>
      <c r="DQ290" s="195" t="s">
        <v>84</v>
      </c>
    </row>
    <row r="291" spans="115:121" ht="12" customHeight="1">
      <c r="DK291" s="195"/>
      <c r="DL291" s="195"/>
      <c r="DM291" s="195"/>
      <c r="DN291" s="195" t="s">
        <v>85</v>
      </c>
      <c r="DO291" s="195" t="s">
        <v>86</v>
      </c>
      <c r="DP291" s="195"/>
      <c r="DQ291" s="195"/>
    </row>
    <row r="292" spans="115:122" ht="12" customHeight="1">
      <c r="DK292" s="187"/>
      <c r="DL292" s="188"/>
      <c r="DM292" s="188"/>
      <c r="DN292" s="188"/>
      <c r="DO292" s="189">
        <f>AU46</f>
        <v>864</v>
      </c>
      <c r="DP292" s="187"/>
      <c r="DQ292" s="190"/>
      <c r="DR292" s="181"/>
    </row>
    <row r="293" spans="115:122" ht="12" customHeight="1">
      <c r="DK293" s="191" t="s">
        <v>44</v>
      </c>
      <c r="DL293" s="192" t="str">
        <f>SUBSTITUTE(DL295,DP299,DP300,1)</f>
        <v>Восемьсот шестьдесят четыре </v>
      </c>
      <c r="DM293" s="191"/>
      <c r="DN293" s="191"/>
      <c r="DO293" s="193"/>
      <c r="DP293" s="191"/>
      <c r="DQ293" s="191"/>
      <c r="DR293" s="181"/>
    </row>
    <row r="294" spans="115:122" ht="12" customHeight="1">
      <c r="DK294" s="191" t="s">
        <v>45</v>
      </c>
      <c r="DL294" s="192" t="str">
        <f>SUBSTITUTE(DL296,DP299,DP300,1)</f>
        <v>Восемьсот шестьдесят четыре </v>
      </c>
      <c r="DM294" s="191"/>
      <c r="DN294" s="191"/>
      <c r="DO294" s="191"/>
      <c r="DP294" s="191"/>
      <c r="DQ294" s="191"/>
      <c r="DR294" s="181"/>
    </row>
    <row r="295" spans="115:122" ht="12" customHeight="1">
      <c r="DK295" s="191" t="s">
        <v>46</v>
      </c>
      <c r="DL295" s="192" t="str">
        <f>CONCATENATE(DK298,DK299,DK300,DK301,DK302)</f>
        <v>восемьсот шестьдесят четыре </v>
      </c>
      <c r="DM295" s="191"/>
      <c r="DN295" s="191"/>
      <c r="DO295" s="191"/>
      <c r="DP295" s="191"/>
      <c r="DQ295" s="191"/>
      <c r="DR295" s="191"/>
    </row>
    <row r="296" spans="115:122" ht="12" customHeight="1">
      <c r="DK296" s="191" t="s">
        <v>47</v>
      </c>
      <c r="DL296" s="192" t="str">
        <f>CONCATENATE(DK298,DK299,DK300,DK301,DK302,DL298,DL299,DM299)</f>
        <v>восемьсот шестьдесят четыре </v>
      </c>
      <c r="DM296" s="191"/>
      <c r="DN296" s="191"/>
      <c r="DO296" s="191"/>
      <c r="DP296" s="192"/>
      <c r="DQ296" s="192"/>
      <c r="DR296" s="191"/>
    </row>
    <row r="297" spans="115:122" ht="12" customHeight="1">
      <c r="DK297" s="187"/>
      <c r="DL297" s="187"/>
      <c r="DM297" s="187"/>
      <c r="DN297" s="194"/>
      <c r="DO297" s="187"/>
      <c r="DP297" s="187"/>
      <c r="DQ297" s="187"/>
      <c r="DR297" s="191"/>
    </row>
    <row r="298" spans="115:122" ht="12" customHeight="1">
      <c r="DK298" s="195">
        <f>CONCATENATE(IF(DL305=0,"",DO305),IF(DL306=0,"",IF(DM307&lt;20,IF(DM307&lt;16,IF(DM307&lt;10,DO306,DN307),DP307),DO306)),IF(DL307=0,"",IF(NOT(DL306=1),DO307,"")),DP308)</f>
      </c>
      <c r="DL298" s="187"/>
      <c r="DM298" s="187"/>
      <c r="DN298" s="194"/>
      <c r="DO298" s="187"/>
      <c r="DP298" s="196">
        <f>CODE(DL296)</f>
        <v>226</v>
      </c>
      <c r="DQ298" s="195"/>
      <c r="DR298" s="187"/>
    </row>
    <row r="299" spans="115:121" ht="12" customHeight="1">
      <c r="DK299" s="195">
        <f>CONCATENATE(IF(DL309=0,"",DO309),IF(DL310=0,"",IF(DM311&lt;20,IF(DM311&lt;16,IF(DM311&lt;10,DO310,DN311),DP311),DO310)),IF(DL311=0,"",IF(NOT(DL310=1),DO311,"")),DP312)</f>
      </c>
      <c r="DL299" s="197"/>
      <c r="DM299" s="187"/>
      <c r="DN299" s="198"/>
      <c r="DO299" s="187"/>
      <c r="DP299" s="196" t="str">
        <f>CHAR(DP298)</f>
        <v>в</v>
      </c>
      <c r="DQ299" s="195"/>
    </row>
    <row r="300" spans="115:121" ht="12" customHeight="1">
      <c r="DK300" s="195">
        <f>CONCATENATE(IF(DL313=0,"",DO313),IF(DL314=0,"",IF(DM315&lt;20,IF(DM315&lt;16,IF(DM315&lt;10,DO314,DN315),DP315),DO314)),IF(DL315=0,"",IF(NOT(DL314=1),DO315,"")),DP316)</f>
      </c>
      <c r="DL300" s="195"/>
      <c r="DM300" s="195"/>
      <c r="DN300" s="199"/>
      <c r="DO300" s="200"/>
      <c r="DP300" s="196" t="str">
        <f>PROPER(DP299)</f>
        <v>В</v>
      </c>
      <c r="DQ300" s="195"/>
    </row>
    <row r="301" spans="115:121" ht="12" customHeight="1">
      <c r="DK301" s="195" t="str">
        <f>CONCATENATE(IF(DL317=0,"",DO317),IF(DL318=0,"",IF(DM319&lt;20,IF(DM319&lt;16,IF(DM319&lt;10,DO318,DN319),DP319),DO318)),IF(DL319=0,"",IF(NOT(DL318=1),DO319,"")),DP320)</f>
        <v>восемьсот шестьдесят четыре </v>
      </c>
      <c r="DL301" s="195"/>
      <c r="DM301" s="195"/>
      <c r="DN301" s="199"/>
      <c r="DO301" s="200"/>
      <c r="DP301" s="195"/>
      <c r="DQ301" s="195"/>
    </row>
    <row r="302" spans="115:121" ht="12" customHeight="1">
      <c r="DK302" s="201"/>
      <c r="DL302" s="195"/>
      <c r="DM302" s="195"/>
      <c r="DN302" s="199"/>
      <c r="DO302" s="200"/>
      <c r="DP302" s="195"/>
      <c r="DQ302" s="195"/>
    </row>
    <row r="303" spans="115:121" ht="12" customHeight="1">
      <c r="DK303" s="201"/>
      <c r="DL303" s="195"/>
      <c r="DM303" s="195"/>
      <c r="DN303" s="195"/>
      <c r="DO303" s="202">
        <f>TRUNC(DO292)</f>
        <v>864</v>
      </c>
      <c r="DP303" s="195" t="s">
        <v>48</v>
      </c>
      <c r="DQ303" s="195"/>
    </row>
    <row r="304" spans="115:121" ht="12" customHeight="1">
      <c r="DK304" s="203">
        <f>TRUNC(DK305/10)</f>
        <v>0</v>
      </c>
      <c r="DL304" s="199"/>
      <c r="DM304" s="195"/>
      <c r="DN304" s="195"/>
      <c r="DO304" s="195"/>
      <c r="DP304" s="195"/>
      <c r="DQ304" s="195"/>
    </row>
    <row r="305" spans="115:121" ht="12" customHeight="1">
      <c r="DK305" s="203">
        <f>TRUNC(DK306/10)</f>
        <v>0</v>
      </c>
      <c r="DL305" s="199">
        <f>TRUNC(RIGHT(DK305))</f>
        <v>0</v>
      </c>
      <c r="DM305" s="195">
        <f>DL305</f>
        <v>0</v>
      </c>
      <c r="DN305" s="195"/>
      <c r="DO305" s="195" t="str">
        <f>IF(DL305=1,DO333,IF(DL305=2,DQ325,IF(DL305=3,DQ326,IF(DL305=4,DQ327,IF(DL305=5,DQ328,IF(DL305=6,DQ329,IF(DL305=7,DQ330,IF(DL305=8,DQ331,DQ332))))))))</f>
        <v>девятьсот </v>
      </c>
      <c r="DP305" s="195"/>
      <c r="DQ305" s="195"/>
    </row>
    <row r="306" spans="115:121" ht="12" customHeight="1">
      <c r="DK306" s="203">
        <f>TRUNC(DK307/10)</f>
        <v>0</v>
      </c>
      <c r="DL306" s="199">
        <f>TRUNC(RIGHT(DK306))</f>
        <v>0</v>
      </c>
      <c r="DM306" s="195">
        <f>IF(DL306=1,"",DL306)</f>
        <v>0</v>
      </c>
      <c r="DN306" s="195"/>
      <c r="DO306" s="200">
        <f>IF(OR(DM306=0,DL306=1),"",IF(DL306=2,DO325,IF(DL306=3,DO326,IF(DL306=4,DO327,IF(DL306=5,DO328,IF(DL306=6,DO329,IF(DL306=7,DO330,IF(DL306=8,DO331,DO332))))))))</f>
      </c>
      <c r="DP306" s="195"/>
      <c r="DQ306" s="195"/>
    </row>
    <row r="307" spans="115:121" ht="12" customHeight="1">
      <c r="DK307" s="203">
        <f>TRUNC(DK309/10)</f>
        <v>0</v>
      </c>
      <c r="DL307" s="199">
        <f>TRUNC(RIGHT(DK307))</f>
        <v>0</v>
      </c>
      <c r="DM307" s="195">
        <f>IF(DL306=1,DL307+10,IF(DL307=0,0,DL307))</f>
        <v>0</v>
      </c>
      <c r="DN307" s="195">
        <f>IF(AND(DM307&gt;9,DM307&lt;16),IF(DM307=10,DN324,IF(DM307=11,DN325,IF(DM307=12,DN326,IF(DM307=13,DN327,IF(DM307=14,DN328,IF(DM307=15,DN329,)))))),"")</f>
      </c>
      <c r="DO307" s="200" t="str">
        <f>IF(DL307=1,DK324,IF(DL307=2,DK325,IF(DL307=3,DK326,IF(DL307=4,DK327,IF(DL307=5,DK328,IF(DL307=6,DK329,IF(DL307=7,DK330,IF(DL307=8,DK331,DK332))))))))</f>
        <v>девять </v>
      </c>
      <c r="DP307" s="195">
        <f>IF(AND(DM307&gt;15,DM307&lt;20),IF(DM307=16,DN330,IF(DM307=17,DN331,IF(DM307=18,DN332,IF(DM307=19,DN333,)))),"")</f>
      </c>
      <c r="DQ307" s="195"/>
    </row>
    <row r="308" spans="115:121" ht="12" customHeight="1">
      <c r="DK308" s="203"/>
      <c r="DL308" s="199"/>
      <c r="DM308" s="195"/>
      <c r="DN308" s="199"/>
      <c r="DO308" s="195">
        <f>DL307+DL306*10+DL305*100</f>
        <v>0</v>
      </c>
      <c r="DP308" s="195">
        <f>IF(DO308=0,"",IF(DL306=1,"миллиардов ",IF(DL307=1,"миллиард ",IF(OR(DL307=2,DL307=3,DL307=4),"миллиарда ","миллиардов "))))</f>
      </c>
      <c r="DQ308" s="195"/>
    </row>
    <row r="309" spans="115:121" ht="12" customHeight="1">
      <c r="DK309" s="203">
        <f>TRUNC(DK310/10)</f>
        <v>0</v>
      </c>
      <c r="DL309" s="199">
        <f>TRUNC(RIGHT(DK309))</f>
        <v>0</v>
      </c>
      <c r="DM309" s="195">
        <f>DL309</f>
        <v>0</v>
      </c>
      <c r="DN309" s="195"/>
      <c r="DO309" s="195" t="str">
        <f>IF(DL309=1,DO333,IF(DL309=2,DQ325,IF(DL309=3,DQ326,IF(DL309=4,DQ327,IF(DL309=5,DQ328,IF(DL309=6,DQ329,IF(DL309=7,DQ330,IF(DL309=8,DQ331,DQ332))))))))</f>
        <v>девятьсот </v>
      </c>
      <c r="DP309" s="195"/>
      <c r="DQ309" s="195"/>
    </row>
    <row r="310" spans="115:121" ht="12" customHeight="1">
      <c r="DK310" s="203">
        <f>TRUNC(DK311/10)</f>
        <v>0</v>
      </c>
      <c r="DL310" s="199">
        <f>TRUNC(RIGHT(DK310))</f>
        <v>0</v>
      </c>
      <c r="DM310" s="195">
        <f>IF(DL310=1,"",DL310)</f>
        <v>0</v>
      </c>
      <c r="DN310" s="195"/>
      <c r="DO310" s="200">
        <f>IF(OR(DM310=0,DL310=1),"",IF(DL310=2,DO325,IF(DL310=3,DO326,IF(DL310=4,DO327,IF(DL310=5,DO328,IF(DL310=6,DO329,IF(DL310=7,DO330,IF(DL310=8,DO331,DO332))))))))</f>
      </c>
      <c r="DP310" s="195"/>
      <c r="DQ310" s="187"/>
    </row>
    <row r="311" spans="115:121" ht="12" customHeight="1">
      <c r="DK311" s="203">
        <f>TRUNC(DK313/10)</f>
        <v>0</v>
      </c>
      <c r="DL311" s="199">
        <f>TRUNC(RIGHT(DK311))</f>
        <v>0</v>
      </c>
      <c r="DM311" s="195">
        <f>IF(DL310=1,DL311+10,IF(DL311=0,0,DL311))</f>
        <v>0</v>
      </c>
      <c r="DN311" s="195">
        <f>IF(AND(DM311&gt;9,DM311&lt;16),IF(DM311=10,DN324,IF(DM311=11,DN325,IF(DM311=12,DN326,IF(DM311=13,DN327,IF(DM311=14,DN328,IF(DM311=15,DN329,)))))),"")</f>
      </c>
      <c r="DO311" s="200" t="str">
        <f>IF(DL311=1,DK324,IF(DL311=2,DK325,IF(DL311=3,DK326,IF(DL311=4,DK327,IF(DL311=5,DK328,IF(DL311=6,DK329,IF(DL311=7,DK330,IF(DL311=8,DK331,DK332))))))))</f>
        <v>девять </v>
      </c>
      <c r="DP311" s="195">
        <f>IF(AND(DM311&gt;15,DM311&lt;20),IF(DM311=16,DN330,IF(DM311=17,DN331,IF(DM311=18,DN332,IF(DM311=19,DN333,)))),"")</f>
      </c>
      <c r="DQ311" s="195"/>
    </row>
    <row r="312" spans="115:121" ht="12" customHeight="1">
      <c r="DK312" s="203"/>
      <c r="DL312" s="199"/>
      <c r="DM312" s="195"/>
      <c r="DN312" s="195"/>
      <c r="DO312" s="195">
        <f>DL311+DL310*10+DL309*100</f>
        <v>0</v>
      </c>
      <c r="DP312" s="195">
        <f>IF(DO312=0,"",IF(DL310=1,"миллионов ",IF(DL311=1,"миллион ",IF(OR(DL311=2,DL311=3,DL311=4),"миллиона ","миллионов "))))</f>
      </c>
      <c r="DQ312" s="195"/>
    </row>
    <row r="313" spans="115:121" ht="12" customHeight="1">
      <c r="DK313" s="203">
        <f>TRUNC(DK314/10)</f>
        <v>0</v>
      </c>
      <c r="DL313" s="199">
        <f>TRUNC(RIGHT(DK313))</f>
        <v>0</v>
      </c>
      <c r="DM313" s="195">
        <f>DL313</f>
        <v>0</v>
      </c>
      <c r="DN313" s="195"/>
      <c r="DO313" s="195" t="str">
        <f>IF(DL313=1,DO333,IF(DL313=2,DQ325,IF(DL313=3,DQ326,IF(DL313=4,DQ327,IF(DL313=5,DQ328,IF(DL313=6,DQ329,IF(DL313=7,DQ330,IF(DL313=8,DQ331,DQ332))))))))</f>
        <v>девятьсот </v>
      </c>
      <c r="DP313" s="195"/>
      <c r="DQ313" s="195"/>
    </row>
    <row r="314" spans="115:121" ht="12" customHeight="1">
      <c r="DK314" s="203">
        <f>TRUNC(DK315/10)</f>
        <v>0</v>
      </c>
      <c r="DL314" s="199">
        <f>TRUNC(RIGHT(DK314))</f>
        <v>0</v>
      </c>
      <c r="DM314" s="195">
        <f>IF(DL314=1,"",DL314)</f>
        <v>0</v>
      </c>
      <c r="DN314" s="195"/>
      <c r="DO314" s="200">
        <f>IF(OR(DM314=0,DL314=1),"",IF(DL314=2,DO325,IF(DL314=3,DO326,IF(DL314=4,DO327,IF(DL314=5,DO328,IF(DL314=6,DO329,IF(DL314=7,DO330,IF(DL314=8,DO331,DO332))))))))</f>
      </c>
      <c r="DP314" s="195"/>
      <c r="DQ314" s="195"/>
    </row>
    <row r="315" spans="115:121" ht="12" customHeight="1">
      <c r="DK315" s="203">
        <f>TRUNC(DK317/10)</f>
        <v>0</v>
      </c>
      <c r="DL315" s="199">
        <f>TRUNC(RIGHT(DK315))</f>
        <v>0</v>
      </c>
      <c r="DM315" s="195">
        <f>IF(DL314=1,DL315+10,IF(DL315=0,0,DL315))</f>
        <v>0</v>
      </c>
      <c r="DN315" s="195">
        <f>IF(AND(DM315&gt;9,DM315&lt;16),IF(DM315=10,DN324,IF(DM315=11,DN325,IF(DM315=12,DN326,IF(DM315=13,DN327,IF(DM315=14,DN328,IF(DM315=15,DN329,)))))),"")</f>
      </c>
      <c r="DO315" s="200" t="str">
        <f>IF(DL315=1,DL324,IF(DL315=2,DL325,IF(DL315=3,DK326,IF(DL315=4,DK327,IF(DL315=5,DK328,IF(DL315=6,DK329,IF(DL315=7,DK330,IF(DL315=8,DK331,DK332))))))))</f>
        <v>девять </v>
      </c>
      <c r="DP315" s="195">
        <f>IF(AND(DM315&gt;15,DM315&lt;20),IF(DM315=16,DN330,IF(DM315=17,DN331,IF(DM315=18,DN332,IF(DM315=19,DN333,)))),"")</f>
      </c>
      <c r="DQ315" s="195"/>
    </row>
    <row r="316" spans="115:121" ht="12" customHeight="1">
      <c r="DK316" s="203"/>
      <c r="DL316" s="199"/>
      <c r="DM316" s="195"/>
      <c r="DN316" s="195"/>
      <c r="DO316" s="200">
        <f>DL313*100+DL314*10+DL315</f>
        <v>0</v>
      </c>
      <c r="DP316" s="195">
        <f>IF(DO316=0,"",IF(DL314=1,"тысяч ",IF(DL315=1,"тысяча ",IF(OR(DL315=2,DL315=3,DL315=4),"тысячи ","тысяч "))))</f>
      </c>
      <c r="DQ316" s="195"/>
    </row>
    <row r="317" spans="115:121" ht="12" customHeight="1">
      <c r="DK317" s="203">
        <f>TRUNC(DK318/10)</f>
        <v>8</v>
      </c>
      <c r="DL317" s="199">
        <f>TRUNC(RIGHT(DK317))</f>
        <v>8</v>
      </c>
      <c r="DM317" s="195">
        <f>DL317</f>
        <v>8</v>
      </c>
      <c r="DN317" s="195"/>
      <c r="DO317" s="195" t="str">
        <f>IF(DL317=1,DO333,IF(DL317=2,DQ325,IF(DL317=3,DQ326,IF(DL317=4,DQ327,IF(DL317=5,DQ328,IF(DL317=6,DQ329,IF(DL317=7,DQ330,IF(DL317=8,DQ331,DQ332))))))))</f>
        <v>восемьсот </v>
      </c>
      <c r="DP317" s="195"/>
      <c r="DQ317" s="195"/>
    </row>
    <row r="318" spans="115:121" ht="12" customHeight="1">
      <c r="DK318" s="203">
        <f>TRUNC(DK319/10)</f>
        <v>86</v>
      </c>
      <c r="DL318" s="204">
        <f>TRUNC(RIGHT(DK318))</f>
        <v>6</v>
      </c>
      <c r="DM318" s="195">
        <f>IF(DL318=1,"",DL318)</f>
        <v>6</v>
      </c>
      <c r="DN318" s="195"/>
      <c r="DO318" s="200" t="str">
        <f>IF(OR(DM318=0,DL318=1),"",IF(DM318=2,DO325,IF(DM318=3,DO326,IF(DM318=4,DO327,IF(DM318=5,DO328,IF(DM318=6,DO329,IF(DM318=7,DO330,IF(DM318=8,DO331,DO332))))))))</f>
        <v>шестьдесят </v>
      </c>
      <c r="DP318" s="195"/>
      <c r="DQ318" s="199"/>
    </row>
    <row r="319" spans="115:121" ht="12" customHeight="1">
      <c r="DK319" s="203">
        <f>DO303</f>
        <v>864</v>
      </c>
      <c r="DL319" s="199">
        <f>TRUNC(RIGHT(DK319))</f>
        <v>4</v>
      </c>
      <c r="DM319" s="195">
        <f>IF(DL318=1,DL319+10,IF(DL319=0,0,DL319))</f>
        <v>4</v>
      </c>
      <c r="DN319" s="195">
        <f>IF(AND(DM319&gt;9,DM319&lt;16),IF(DM319=10,DN324,IF(DM319=11,DN325,IF(DM319=12,DN326,IF(DM319=13,DN327,IF(DM319=14,DN328,IF(DM319=15,DN329,)))))),"")</f>
      </c>
      <c r="DO319" s="200" t="str">
        <f>IF(DL319=1,DK324,IF(DL319=2,DK325,IF(DL319=3,DK326,IF(DL319=4,DK327,IF(DL319=5,DK328,IF(DL319=6,DK329,IF(DL319=7,DK330,IF(DL319=8,DK331,DK332))))))))</f>
        <v>четыре </v>
      </c>
      <c r="DP319" s="195">
        <f>IF(AND(DM319&gt;15,DM319&lt;20),IF(DM319=16,DN330,IF(DM319=17,DN331,IF(DM319=18,DN332,IF(DM319=19,DN333,)))),"")</f>
      </c>
      <c r="DQ319" s="199"/>
    </row>
    <row r="320" spans="115:121" ht="12" customHeight="1">
      <c r="DK320" s="201"/>
      <c r="DL320" s="204"/>
      <c r="DM320" s="199"/>
      <c r="DN320" s="195"/>
      <c r="DO320" s="200">
        <f>DL317*100+DL318*10+DL319</f>
        <v>864</v>
      </c>
      <c r="DP320" s="195">
        <f>IF(DO320+DO316+DO312+DO308=0,"ноль ",IF(DM319=1,"",IF(OR(DM319=2,DM319=3,DM319=4),"","")))</f>
      </c>
      <c r="DQ320" s="199"/>
    </row>
    <row r="321" spans="115:121" ht="12" customHeight="1">
      <c r="DK321" s="205">
        <f>ROUND(100*(DO292-DO303),0)</f>
        <v>0</v>
      </c>
      <c r="DL321" s="195"/>
      <c r="DM321" s="199">
        <f>TRUNC(DK321/10)</f>
        <v>0</v>
      </c>
      <c r="DN321" s="195"/>
      <c r="DO321" s="200">
        <f>IF(OR(DM321=1,DM321=0),"",IF(DM321=2,DO325,IF(DM321=3,DO326,IF(DM321=4,DO327,IF(DM321=5,DO328,IF(DM321=6,DO329,IF(DM321=7,DO330,IF(DM321=8,DO331,DO332))))))))</f>
      </c>
      <c r="DP321" s="195"/>
      <c r="DQ321" s="195"/>
    </row>
    <row r="322" spans="115:121" ht="12" customHeight="1">
      <c r="DK322" s="195"/>
      <c r="DL322" s="195"/>
      <c r="DM322" s="199">
        <f>TRUNC(DK321-DM321*10)</f>
        <v>0</v>
      </c>
      <c r="DN322" s="195"/>
      <c r="DO322" s="200" t="str">
        <f>IF(DM322=1,DL324,IF(DM322=2,DL325,IF(DM322=3,DK326,IF(DM322=4,DK327,IF(DM322=5,DK328,IF(DM322=6,DK329,IF(DM322=7,DK330,IF(DM322=8,DK331,DK332))))))))</f>
        <v>девять </v>
      </c>
      <c r="DP322" s="195"/>
      <c r="DQ322" s="195"/>
    </row>
    <row r="323" spans="115:121" ht="12" customHeight="1">
      <c r="DK323" s="195"/>
      <c r="DL323" s="195"/>
      <c r="DM323" s="195"/>
      <c r="DN323" s="195"/>
      <c r="DO323" s="195"/>
      <c r="DP323" s="195" t="s">
        <v>131</v>
      </c>
      <c r="DQ323" s="195"/>
    </row>
    <row r="324" spans="115:121" ht="12" customHeight="1">
      <c r="DK324" s="195" t="s">
        <v>49</v>
      </c>
      <c r="DL324" s="195" t="s">
        <v>50</v>
      </c>
      <c r="DM324" s="195"/>
      <c r="DN324" s="195" t="s">
        <v>51</v>
      </c>
      <c r="DO324" s="195"/>
      <c r="DP324" s="195"/>
      <c r="DQ324" s="195"/>
    </row>
    <row r="325" spans="115:121" ht="12" customHeight="1">
      <c r="DK325" s="195" t="s">
        <v>52</v>
      </c>
      <c r="DL325" s="195" t="s">
        <v>53</v>
      </c>
      <c r="DM325" s="195"/>
      <c r="DN325" s="195" t="s">
        <v>54</v>
      </c>
      <c r="DO325" s="195" t="s">
        <v>55</v>
      </c>
      <c r="DP325" s="195"/>
      <c r="DQ325" s="195" t="s">
        <v>56</v>
      </c>
    </row>
    <row r="326" spans="115:121" ht="12" customHeight="1">
      <c r="DK326" s="195" t="s">
        <v>57</v>
      </c>
      <c r="DL326" s="195"/>
      <c r="DM326" s="195"/>
      <c r="DN326" s="195" t="s">
        <v>58</v>
      </c>
      <c r="DO326" s="195" t="s">
        <v>59</v>
      </c>
      <c r="DP326" s="195"/>
      <c r="DQ326" s="195" t="s">
        <v>60</v>
      </c>
    </row>
    <row r="327" spans="115:121" ht="12" customHeight="1">
      <c r="DK327" s="195" t="s">
        <v>61</v>
      </c>
      <c r="DL327" s="195"/>
      <c r="DM327" s="195"/>
      <c r="DN327" s="195" t="s">
        <v>62</v>
      </c>
      <c r="DO327" s="195" t="s">
        <v>63</v>
      </c>
      <c r="DP327" s="195"/>
      <c r="DQ327" s="195" t="s">
        <v>64</v>
      </c>
    </row>
    <row r="328" spans="115:121" ht="12" customHeight="1">
      <c r="DK328" s="195" t="s">
        <v>65</v>
      </c>
      <c r="DL328" s="195"/>
      <c r="DM328" s="195"/>
      <c r="DN328" s="195" t="s">
        <v>66</v>
      </c>
      <c r="DO328" s="195" t="s">
        <v>67</v>
      </c>
      <c r="DP328" s="195"/>
      <c r="DQ328" s="195" t="s">
        <v>68</v>
      </c>
    </row>
    <row r="329" spans="115:121" ht="12" customHeight="1">
      <c r="DK329" s="195" t="s">
        <v>69</v>
      </c>
      <c r="DL329" s="195"/>
      <c r="DM329" s="195"/>
      <c r="DN329" s="195" t="s">
        <v>70</v>
      </c>
      <c r="DO329" s="195" t="s">
        <v>71</v>
      </c>
      <c r="DP329" s="195"/>
      <c r="DQ329" s="195" t="s">
        <v>72</v>
      </c>
    </row>
    <row r="330" spans="115:121" ht="12" customHeight="1">
      <c r="DK330" s="195" t="s">
        <v>73</v>
      </c>
      <c r="DL330" s="195"/>
      <c r="DM330" s="195"/>
      <c r="DN330" s="195" t="s">
        <v>74</v>
      </c>
      <c r="DO330" s="195" t="s">
        <v>75</v>
      </c>
      <c r="DP330" s="195"/>
      <c r="DQ330" s="195" t="s">
        <v>76</v>
      </c>
    </row>
    <row r="331" spans="115:121" ht="12" customHeight="1">
      <c r="DK331" s="206" t="s">
        <v>77</v>
      </c>
      <c r="DL331" s="195"/>
      <c r="DM331" s="195"/>
      <c r="DN331" s="195" t="s">
        <v>78</v>
      </c>
      <c r="DO331" s="195" t="s">
        <v>79</v>
      </c>
      <c r="DP331" s="195"/>
      <c r="DQ331" s="195" t="s">
        <v>80</v>
      </c>
    </row>
    <row r="332" spans="115:121" ht="12" customHeight="1">
      <c r="DK332" s="195" t="s">
        <v>81</v>
      </c>
      <c r="DL332" s="195"/>
      <c r="DM332" s="195"/>
      <c r="DN332" s="195" t="s">
        <v>82</v>
      </c>
      <c r="DO332" s="195" t="s">
        <v>83</v>
      </c>
      <c r="DP332" s="195"/>
      <c r="DQ332" s="195" t="s">
        <v>84</v>
      </c>
    </row>
    <row r="333" spans="115:121" ht="12" customHeight="1">
      <c r="DK333" s="195"/>
      <c r="DL333" s="195"/>
      <c r="DM333" s="195"/>
      <c r="DN333" s="195" t="s">
        <v>85</v>
      </c>
      <c r="DO333" s="195" t="s">
        <v>86</v>
      </c>
      <c r="DP333" s="195"/>
      <c r="DQ333" s="195"/>
    </row>
    <row r="334" spans="115:122" ht="12" customHeight="1">
      <c r="DK334" s="187"/>
      <c r="DL334" s="188"/>
      <c r="DM334" s="188"/>
      <c r="DN334" s="188"/>
      <c r="DO334" s="189">
        <f>AQ46</f>
        <v>22</v>
      </c>
      <c r="DP334" s="187"/>
      <c r="DQ334" s="190"/>
      <c r="DR334" s="181"/>
    </row>
    <row r="335" spans="115:122" ht="12" customHeight="1">
      <c r="DK335" s="191" t="s">
        <v>44</v>
      </c>
      <c r="DL335" s="192" t="str">
        <f>SUBSTITUTE(DL337,DP341,DP342,1)</f>
        <v>Двадцать две шт.</v>
      </c>
      <c r="DM335" s="191"/>
      <c r="DN335" s="191"/>
      <c r="DO335" s="193"/>
      <c r="DP335" s="191"/>
      <c r="DQ335" s="191"/>
      <c r="DR335" s="181"/>
    </row>
    <row r="336" spans="115:122" ht="12" customHeight="1">
      <c r="DK336" s="191" t="s">
        <v>45</v>
      </c>
      <c r="DL336" s="192" t="str">
        <f>SUBSTITUTE(DL338,DP341,DP342,1)</f>
        <v>Двадцать две шт.</v>
      </c>
      <c r="DM336" s="191"/>
      <c r="DN336" s="191"/>
      <c r="DO336" s="191"/>
      <c r="DP336" s="191"/>
      <c r="DQ336" s="191"/>
      <c r="DR336" s="181"/>
    </row>
    <row r="337" spans="115:122" ht="12" customHeight="1">
      <c r="DK337" s="191" t="s">
        <v>46</v>
      </c>
      <c r="DL337" s="192" t="str">
        <f>CONCATENATE(DK340,DK341,DK342,DK343,DK344)</f>
        <v>двадцать две шт.</v>
      </c>
      <c r="DM337" s="191"/>
      <c r="DN337" s="191"/>
      <c r="DO337" s="191"/>
      <c r="DP337" s="191"/>
      <c r="DQ337" s="191"/>
      <c r="DR337" s="191"/>
    </row>
    <row r="338" spans="115:122" ht="12" customHeight="1">
      <c r="DK338" s="191" t="s">
        <v>47</v>
      </c>
      <c r="DL338" s="192" t="str">
        <f>CONCATENATE(DK340,DK341,DK342,DK343,DK344,DL340,DL341,DM341)</f>
        <v>двадцать две шт.</v>
      </c>
      <c r="DM338" s="191"/>
      <c r="DN338" s="191"/>
      <c r="DO338" s="191"/>
      <c r="DP338" s="192"/>
      <c r="DQ338" s="192"/>
      <c r="DR338" s="191"/>
    </row>
    <row r="339" spans="115:122" ht="12" customHeight="1">
      <c r="DK339" s="187"/>
      <c r="DL339" s="187"/>
      <c r="DM339" s="187"/>
      <c r="DN339" s="194"/>
      <c r="DO339" s="187"/>
      <c r="DP339" s="187"/>
      <c r="DQ339" s="187"/>
      <c r="DR339" s="191"/>
    </row>
    <row r="340" spans="115:122" ht="12" customHeight="1">
      <c r="DK340" s="195">
        <f>CONCATENATE(IF(DL347=0,"",DO347),IF(DL348=0,"",IF(DM349&lt;20,IF(DM349&lt;16,IF(DM349&lt;10,DO348,DN349),DP349),DO348)),IF(DL349=0,"",IF(NOT(DL348=1),DO349,"")),DP350)</f>
      </c>
      <c r="DL340" s="187"/>
      <c r="DM340" s="187"/>
      <c r="DN340" s="194"/>
      <c r="DO340" s="187"/>
      <c r="DP340" s="196">
        <f>CODE(DL338)</f>
        <v>228</v>
      </c>
      <c r="DQ340" s="195"/>
      <c r="DR340" s="187"/>
    </row>
    <row r="341" spans="115:121" ht="12" customHeight="1">
      <c r="DK341" s="195">
        <f>CONCATENATE(IF(DL351=0,"",DO351),IF(DL352=0,"",IF(DM353&lt;20,IF(DM353&lt;16,IF(DM353&lt;10,DO352,DN353),DP353),DO352)),IF(DL353=0,"",IF(NOT(DL352=1),DO353,"")),DP354)</f>
      </c>
      <c r="DL341" s="197"/>
      <c r="DM341" s="187"/>
      <c r="DN341" s="198"/>
      <c r="DO341" s="187"/>
      <c r="DP341" s="196" t="str">
        <f>CHAR(DP340)</f>
        <v>д</v>
      </c>
      <c r="DQ341" s="195"/>
    </row>
    <row r="342" spans="115:121" ht="12" customHeight="1">
      <c r="DK342" s="195">
        <f>CONCATENATE(IF(DL355=0,"",DO355),IF(DL356=0,"",IF(DM357&lt;20,IF(DM357&lt;16,IF(DM357&lt;10,DO356,DN357),DP357),DO356)),IF(DL357=0,"",IF(NOT(DL356=1),DO357,"")),DP358)</f>
      </c>
      <c r="DL342" s="195"/>
      <c r="DM342" s="195"/>
      <c r="DN342" s="199"/>
      <c r="DO342" s="200"/>
      <c r="DP342" s="196" t="str">
        <f>PROPER(DP341)</f>
        <v>Д</v>
      </c>
      <c r="DQ342" s="195"/>
    </row>
    <row r="343" spans="115:121" ht="12" customHeight="1">
      <c r="DK343" s="195" t="str">
        <f>CONCATENATE(IF(DL359=0,"",DO359),IF(DL360=0,"",IF(DM361&lt;20,IF(DM361&lt;16,IF(DM361&lt;10,DO360,DN361),DP361),DO360)),IF(DL361=0,"",IF(NOT(DL360=1),DO361,"")),DP362)</f>
        <v>двадцать две шт.</v>
      </c>
      <c r="DL343" s="195"/>
      <c r="DM343" s="195"/>
      <c r="DN343" s="199"/>
      <c r="DO343" s="200"/>
      <c r="DP343" s="195"/>
      <c r="DQ343" s="195"/>
    </row>
    <row r="344" spans="115:121" ht="12" customHeight="1">
      <c r="DK344" s="201"/>
      <c r="DL344" s="195"/>
      <c r="DM344" s="195"/>
      <c r="DN344" s="199"/>
      <c r="DO344" s="200"/>
      <c r="DP344" s="195"/>
      <c r="DQ344" s="195"/>
    </row>
    <row r="345" spans="115:121" ht="12" customHeight="1">
      <c r="DK345" s="201"/>
      <c r="DL345" s="195"/>
      <c r="DM345" s="195"/>
      <c r="DN345" s="195"/>
      <c r="DO345" s="202">
        <f>TRUNC(DO334)</f>
        <v>22</v>
      </c>
      <c r="DP345" s="195" t="s">
        <v>134</v>
      </c>
      <c r="DQ345" s="195"/>
    </row>
    <row r="346" spans="115:121" ht="12" customHeight="1">
      <c r="DK346" s="203">
        <f>TRUNC(DK347/10)</f>
        <v>0</v>
      </c>
      <c r="DL346" s="199"/>
      <c r="DM346" s="195"/>
      <c r="DN346" s="195"/>
      <c r="DO346" s="195"/>
      <c r="DP346" s="195"/>
      <c r="DQ346" s="195"/>
    </row>
    <row r="347" spans="115:121" ht="12" customHeight="1">
      <c r="DK347" s="203">
        <f>TRUNC(DK348/10)</f>
        <v>0</v>
      </c>
      <c r="DL347" s="199">
        <f>TRUNC(RIGHT(DK347))</f>
        <v>0</v>
      </c>
      <c r="DM347" s="195">
        <f>DL347</f>
        <v>0</v>
      </c>
      <c r="DN347" s="195"/>
      <c r="DO347" s="195" t="str">
        <f>IF(DL347=1,DO375,IF(DL347=2,DQ367,IF(DL347=3,DQ368,IF(DL347=4,DQ369,IF(DL347=5,DQ370,IF(DL347=6,DQ371,IF(DL347=7,DQ372,IF(DL347=8,DQ373,DQ374))))))))</f>
        <v>девятьсот </v>
      </c>
      <c r="DP347" s="195"/>
      <c r="DQ347" s="195"/>
    </row>
    <row r="348" spans="115:121" ht="12" customHeight="1">
      <c r="DK348" s="203">
        <f>TRUNC(DK349/10)</f>
        <v>0</v>
      </c>
      <c r="DL348" s="199">
        <f>TRUNC(RIGHT(DK348))</f>
        <v>0</v>
      </c>
      <c r="DM348" s="195">
        <f>IF(DL348=1,"",DL348)</f>
        <v>0</v>
      </c>
      <c r="DN348" s="195"/>
      <c r="DO348" s="200">
        <f>IF(OR(DM348=0,DL348=1),"",IF(DL348=2,DO367,IF(DL348=3,DO368,IF(DL348=4,DO369,IF(DL348=5,DO370,IF(DL348=6,DO371,IF(DL348=7,DO372,IF(DL348=8,DO373,DO374))))))))</f>
      </c>
      <c r="DP348" s="195"/>
      <c r="DQ348" s="195"/>
    </row>
    <row r="349" spans="115:121" ht="12" customHeight="1">
      <c r="DK349" s="203">
        <f>TRUNC(DK351/10)</f>
        <v>0</v>
      </c>
      <c r="DL349" s="199">
        <f>TRUNC(RIGHT(DK349))</f>
        <v>0</v>
      </c>
      <c r="DM349" s="195">
        <f>IF(DL348=1,DL349+10,IF(DL349=0,0,DL349))</f>
        <v>0</v>
      </c>
      <c r="DN349" s="195">
        <f>IF(AND(DM349&gt;9,DM349&lt;16),IF(DM349=10,DN366,IF(DM349=11,DN367,IF(DM349=12,DN368,IF(DM349=13,DN369,IF(DM349=14,DN370,IF(DM349=15,DN371,)))))),"")</f>
      </c>
      <c r="DO349" s="200" t="str">
        <f>IF(DL349=1,DK366,IF(DL349=2,DK367,IF(DL349=3,DK368,IF(DL349=4,DK369,IF(DL349=5,DK370,IF(DL349=6,DK371,IF(DL349=7,DK372,IF(DL349=8,DK373,DK374))))))))</f>
        <v>девять </v>
      </c>
      <c r="DP349" s="195">
        <f>IF(AND(DM349&gt;15,DM349&lt;20),IF(DM349=16,DN372,IF(DM349=17,DN373,IF(DM349=18,DN374,IF(DM349=19,DN375,)))),"")</f>
      </c>
      <c r="DQ349" s="195"/>
    </row>
    <row r="350" spans="115:121" ht="12" customHeight="1">
      <c r="DK350" s="203"/>
      <c r="DL350" s="199"/>
      <c r="DM350" s="195"/>
      <c r="DN350" s="199"/>
      <c r="DO350" s="195">
        <f>DL349+DL348*10+DL347*100</f>
        <v>0</v>
      </c>
      <c r="DP350" s="195">
        <f>IF(DO350=0,"",IF(DL348=1,"миллиардов ",IF(DL349=1,"миллиард ",IF(OR(DL349=2,DL349=3,DL349=4),"миллиарда ","миллиардов "))))</f>
      </c>
      <c r="DQ350" s="195"/>
    </row>
    <row r="351" spans="115:121" ht="12" customHeight="1">
      <c r="DK351" s="203">
        <f>TRUNC(DK352/10)</f>
        <v>0</v>
      </c>
      <c r="DL351" s="199">
        <f>TRUNC(RIGHT(DK351))</f>
        <v>0</v>
      </c>
      <c r="DM351" s="195">
        <f>DL351</f>
        <v>0</v>
      </c>
      <c r="DN351" s="195"/>
      <c r="DO351" s="195" t="str">
        <f>IF(DL351=1,DO375,IF(DL351=2,DQ367,IF(DL351=3,DQ368,IF(DL351=4,DQ369,IF(DL351=5,DQ370,IF(DL351=6,DQ371,IF(DL351=7,DQ372,IF(DL351=8,DQ373,DQ374))))))))</f>
        <v>девятьсот </v>
      </c>
      <c r="DP351" s="195"/>
      <c r="DQ351" s="195"/>
    </row>
    <row r="352" spans="115:121" ht="12" customHeight="1">
      <c r="DK352" s="203">
        <f>TRUNC(DK353/10)</f>
        <v>0</v>
      </c>
      <c r="DL352" s="199">
        <f>TRUNC(RIGHT(DK352))</f>
        <v>0</v>
      </c>
      <c r="DM352" s="195">
        <f>IF(DL352=1,"",DL352)</f>
        <v>0</v>
      </c>
      <c r="DN352" s="195"/>
      <c r="DO352" s="200">
        <f>IF(OR(DM352=0,DL352=1),"",IF(DL352=2,DO367,IF(DL352=3,DO368,IF(DL352=4,DO369,IF(DL352=5,DO370,IF(DL352=6,DO371,IF(DL352=7,DO372,IF(DL352=8,DO373,DO374))))))))</f>
      </c>
      <c r="DP352" s="195"/>
      <c r="DQ352" s="187"/>
    </row>
    <row r="353" spans="115:121" ht="12" customHeight="1">
      <c r="DK353" s="203">
        <f>TRUNC(DK355/10)</f>
        <v>0</v>
      </c>
      <c r="DL353" s="199">
        <f>TRUNC(RIGHT(DK353))</f>
        <v>0</v>
      </c>
      <c r="DM353" s="195">
        <f>IF(DL352=1,DL353+10,IF(DL353=0,0,DL353))</f>
        <v>0</v>
      </c>
      <c r="DN353" s="195">
        <f>IF(AND(DM353&gt;9,DM353&lt;16),IF(DM353=10,DN366,IF(DM353=11,DN367,IF(DM353=12,DN368,IF(DM353=13,DN369,IF(DM353=14,DN370,IF(DM353=15,DN371,)))))),"")</f>
      </c>
      <c r="DO353" s="200" t="str">
        <f>IF(DL353=1,DK366,IF(DL353=2,DK367,IF(DL353=3,DK368,IF(DL353=4,DK369,IF(DL353=5,DK370,IF(DL353=6,DK371,IF(DL353=7,DK372,IF(DL353=8,DK373,DK374))))))))</f>
        <v>девять </v>
      </c>
      <c r="DP353" s="195">
        <f>IF(AND(DM353&gt;15,DM353&lt;20),IF(DM353=16,DN372,IF(DM353=17,DN373,IF(DM353=18,DN374,IF(DM353=19,DN375,)))),"")</f>
      </c>
      <c r="DQ353" s="195"/>
    </row>
    <row r="354" spans="115:121" ht="12" customHeight="1">
      <c r="DK354" s="203"/>
      <c r="DL354" s="199"/>
      <c r="DM354" s="195"/>
      <c r="DN354" s="195"/>
      <c r="DO354" s="195">
        <f>DL353+DL352*10+DL351*100</f>
        <v>0</v>
      </c>
      <c r="DP354" s="195">
        <f>IF(DO354=0,"",IF(DL352=1,"миллионов ",IF(DL353=1,"миллион ",IF(OR(DL353=2,DL353=3,DL353=4),"миллиона ","миллионов "))))</f>
      </c>
      <c r="DQ354" s="195"/>
    </row>
    <row r="355" spans="115:121" ht="12" customHeight="1">
      <c r="DK355" s="203">
        <f>TRUNC(DK356/10)</f>
        <v>0</v>
      </c>
      <c r="DL355" s="199">
        <f>TRUNC(RIGHT(DK355))</f>
        <v>0</v>
      </c>
      <c r="DM355" s="195">
        <f>DL355</f>
        <v>0</v>
      </c>
      <c r="DN355" s="195"/>
      <c r="DO355" s="195" t="str">
        <f>IF(DL355=1,DO375,IF(DL355=2,DQ367,IF(DL355=3,DQ368,IF(DL355=4,DQ369,IF(DL355=5,DQ370,IF(DL355=6,DQ371,IF(DL355=7,DQ372,IF(DL355=8,DQ373,DQ374))))))))</f>
        <v>девятьсот </v>
      </c>
      <c r="DP355" s="195"/>
      <c r="DQ355" s="195"/>
    </row>
    <row r="356" spans="115:121" ht="12" customHeight="1">
      <c r="DK356" s="203">
        <f>TRUNC(DK357/10)</f>
        <v>0</v>
      </c>
      <c r="DL356" s="199">
        <f>TRUNC(RIGHT(DK356))</f>
        <v>0</v>
      </c>
      <c r="DM356" s="195">
        <f>IF(DL356=1,"",DL356)</f>
        <v>0</v>
      </c>
      <c r="DN356" s="195"/>
      <c r="DO356" s="200">
        <f>IF(OR(DM356=0,DL356=1),"",IF(DL356=2,DO367,IF(DL356=3,DO368,IF(DL356=4,DO369,IF(DL356=5,DO370,IF(DL356=6,DO371,IF(DL356=7,DO372,IF(DL356=8,DO373,DO374))))))))</f>
      </c>
      <c r="DP356" s="195"/>
      <c r="DQ356" s="195"/>
    </row>
    <row r="357" spans="115:121" ht="12" customHeight="1">
      <c r="DK357" s="203">
        <f>TRUNC(DK359/10)</f>
        <v>0</v>
      </c>
      <c r="DL357" s="199">
        <f>TRUNC(RIGHT(DK357))</f>
        <v>0</v>
      </c>
      <c r="DM357" s="195">
        <f>IF(DL356=1,DL357+10,IF(DL357=0,0,DL357))</f>
        <v>0</v>
      </c>
      <c r="DN357" s="195">
        <f>IF(AND(DM357&gt;9,DM357&lt;16),IF(DM357=10,DN366,IF(DM357=11,DN367,IF(DM357=12,DN368,IF(DM357=13,DN369,IF(DM357=14,DN370,IF(DM357=15,DN371,)))))),"")</f>
      </c>
      <c r="DO357" s="200" t="str">
        <f>IF(DL357=1,DL366,IF(DL357=2,DL367,IF(DL357=3,DK368,IF(DL357=4,DK369,IF(DL357=5,DK370,IF(DL357=6,DK371,IF(DL357=7,DK372,IF(DL357=8,DK373,DK374))))))))</f>
        <v>девять </v>
      </c>
      <c r="DP357" s="195">
        <f>IF(AND(DM357&gt;15,DM357&lt;20),IF(DM357=16,DN372,IF(DM357=17,DN373,IF(DM357=18,DN374,IF(DM357=19,DN375,)))),"")</f>
      </c>
      <c r="DQ357" s="195"/>
    </row>
    <row r="358" spans="115:121" ht="12" customHeight="1">
      <c r="DK358" s="203"/>
      <c r="DL358" s="199"/>
      <c r="DM358" s="195"/>
      <c r="DN358" s="195"/>
      <c r="DO358" s="200">
        <f>DL355*100+DL356*10+DL357</f>
        <v>0</v>
      </c>
      <c r="DP358" s="195">
        <f>IF(DO358=0,"",IF(DL356=1,"тысяч ",IF(DL357=1,"тысяча ",IF(OR(DL357=2,DL357=3,DL357=4),"тысячи ","тысяч "))))</f>
      </c>
      <c r="DQ358" s="195"/>
    </row>
    <row r="359" spans="115:121" ht="12" customHeight="1">
      <c r="DK359" s="203">
        <f>TRUNC(DK360/10)</f>
        <v>0</v>
      </c>
      <c r="DL359" s="199">
        <f>TRUNC(RIGHT(DK359))</f>
        <v>0</v>
      </c>
      <c r="DM359" s="195">
        <f>DL359</f>
        <v>0</v>
      </c>
      <c r="DN359" s="195"/>
      <c r="DO359" s="195" t="str">
        <f>IF(DL359=1,DO375,IF(DL359=2,DQ367,IF(DL359=3,DQ368,IF(DL359=4,DQ369,IF(DL359=5,DQ370,IF(DL359=6,DQ371,IF(DL359=7,DQ372,IF(DL359=8,DQ373,DQ374))))))))</f>
        <v>девятьсот </v>
      </c>
      <c r="DP359" s="195"/>
      <c r="DQ359" s="195"/>
    </row>
    <row r="360" spans="115:121" ht="12" customHeight="1">
      <c r="DK360" s="203">
        <f>TRUNC(DK361/10)</f>
        <v>2</v>
      </c>
      <c r="DL360" s="204">
        <f>TRUNC(RIGHT(DK360))</f>
        <v>2</v>
      </c>
      <c r="DM360" s="195">
        <f>IF(DL360=1,"",DL360)</f>
        <v>2</v>
      </c>
      <c r="DN360" s="195"/>
      <c r="DO360" s="200" t="str">
        <f>IF(OR(DM360=0,DL360=1),"",IF(DM360=2,DO367,IF(DM360=3,DO368,IF(DM360=4,DO369,IF(DM360=5,DO370,IF(DM360=6,DO371,IF(DM360=7,DO372,IF(DM360=8,DO373,DO374))))))))</f>
        <v>двадцать </v>
      </c>
      <c r="DP360" s="195"/>
      <c r="DQ360" s="199"/>
    </row>
    <row r="361" spans="115:121" ht="12" customHeight="1">
      <c r="DK361" s="203">
        <f>DO345</f>
        <v>22</v>
      </c>
      <c r="DL361" s="199">
        <f>TRUNC(RIGHT(DK361))</f>
        <v>2</v>
      </c>
      <c r="DM361" s="195">
        <f>IF(DL360=1,DL361+10,IF(DL361=0,0,DL361))</f>
        <v>2</v>
      </c>
      <c r="DN361" s="195">
        <f>IF(AND(DM361&gt;9,DM361&lt;16),IF(DM361=10,DN366,IF(DM361=11,DN367,IF(DM361=12,DN368,IF(DM361=13,DN369,IF(DM361=14,DN370,IF(DM361=15,DN371,)))))),"")</f>
      </c>
      <c r="DO361" s="200" t="str">
        <f>IF(DL361=1,DL366,IF(DL361=2,DL367,IF(DL361=3,DK368,IF(DL361=4,DK369,IF(DL361=5,DK370,IF(DL361=6,DK371,IF(DL361=7,DK372,IF(DL361=8,DK373,DK374))))))))</f>
        <v>две </v>
      </c>
      <c r="DP361" s="195">
        <f>IF(AND(DM361&gt;15,DM361&lt;20),IF(DM361=16,DN372,IF(DM361=17,DN373,IF(DM361=18,DN374,IF(DM361=19,DN375,)))),"")</f>
      </c>
      <c r="DQ361" s="199"/>
    </row>
    <row r="362" spans="115:121" ht="12" customHeight="1">
      <c r="DK362" s="201"/>
      <c r="DL362" s="204"/>
      <c r="DM362" s="199"/>
      <c r="DN362" s="195"/>
      <c r="DO362" s="200">
        <f>DL359*100+DL360*10+DL361</f>
        <v>22</v>
      </c>
      <c r="DP362" s="195" t="str">
        <f>IF(DO362+DO358+DO354+DO350=0,"ноль шт. ",IF(DM361=1,"шт.",IF(OR(DM361=2,DM361=3,DM361=4),"шт.","шт.")))</f>
        <v>шт.</v>
      </c>
      <c r="DQ362" s="199"/>
    </row>
    <row r="363" spans="115:121" ht="12" customHeight="1">
      <c r="DK363" s="205">
        <f>ROUND(100*(DO334-DO345),0)</f>
        <v>0</v>
      </c>
      <c r="DL363" s="195"/>
      <c r="DM363" s="199">
        <f>TRUNC(DK363/10)</f>
        <v>0</v>
      </c>
      <c r="DN363" s="195"/>
      <c r="DO363" s="200">
        <f>IF(OR(DM363=1,DM363=0),"",IF(DM363=2,DO367,IF(DM363=3,DO368,IF(DM363=4,DO369,IF(DM363=5,DO370,IF(DM363=6,DO371,IF(DM363=7,DO372,IF(DM363=8,DO373,DO374))))))))</f>
      </c>
      <c r="DP363" s="195"/>
      <c r="DQ363" s="195"/>
    </row>
    <row r="364" spans="115:121" ht="12" customHeight="1">
      <c r="DK364" s="195"/>
      <c r="DL364" s="195"/>
      <c r="DM364" s="199">
        <f>TRUNC(DK363-DM363*10)</f>
        <v>0</v>
      </c>
      <c r="DN364" s="195"/>
      <c r="DO364" s="200" t="str">
        <f>IF(DM364=1,DL366,IF(DM364=2,DL367,IF(DM364=3,DK368,IF(DM364=4,DK369,IF(DM364=5,DK370,IF(DM364=6,DK371,IF(DM364=7,DK372,IF(DM364=8,DK373,DK374))))))))</f>
        <v>девять </v>
      </c>
      <c r="DP364" s="195"/>
      <c r="DQ364" s="195"/>
    </row>
    <row r="365" spans="115:121" ht="12" customHeight="1">
      <c r="DK365" s="195"/>
      <c r="DL365" s="195"/>
      <c r="DM365" s="195"/>
      <c r="DN365" s="195"/>
      <c r="DO365" s="195"/>
      <c r="DP365" s="195" t="s">
        <v>131</v>
      </c>
      <c r="DQ365" s="195"/>
    </row>
    <row r="366" spans="115:121" ht="12" customHeight="1">
      <c r="DK366" s="195" t="s">
        <v>49</v>
      </c>
      <c r="DL366" s="195" t="s">
        <v>50</v>
      </c>
      <c r="DM366" s="195"/>
      <c r="DN366" s="195" t="s">
        <v>51</v>
      </c>
      <c r="DO366" s="195"/>
      <c r="DP366" s="195"/>
      <c r="DQ366" s="195"/>
    </row>
    <row r="367" spans="115:121" ht="12" customHeight="1">
      <c r="DK367" s="195" t="s">
        <v>52</v>
      </c>
      <c r="DL367" s="195" t="s">
        <v>53</v>
      </c>
      <c r="DM367" s="195"/>
      <c r="DN367" s="195" t="s">
        <v>54</v>
      </c>
      <c r="DO367" s="195" t="s">
        <v>55</v>
      </c>
      <c r="DP367" s="195"/>
      <c r="DQ367" s="195" t="s">
        <v>56</v>
      </c>
    </row>
    <row r="368" spans="115:121" ht="12" customHeight="1">
      <c r="DK368" s="195" t="s">
        <v>57</v>
      </c>
      <c r="DL368" s="195"/>
      <c r="DM368" s="195"/>
      <c r="DN368" s="195" t="s">
        <v>58</v>
      </c>
      <c r="DO368" s="195" t="s">
        <v>59</v>
      </c>
      <c r="DP368" s="195"/>
      <c r="DQ368" s="195" t="s">
        <v>60</v>
      </c>
    </row>
    <row r="369" spans="115:121" ht="12" customHeight="1">
      <c r="DK369" s="195" t="s">
        <v>61</v>
      </c>
      <c r="DL369" s="195"/>
      <c r="DM369" s="195"/>
      <c r="DN369" s="195" t="s">
        <v>62</v>
      </c>
      <c r="DO369" s="195" t="s">
        <v>63</v>
      </c>
      <c r="DP369" s="195"/>
      <c r="DQ369" s="195" t="s">
        <v>64</v>
      </c>
    </row>
    <row r="370" spans="115:121" ht="12" customHeight="1">
      <c r="DK370" s="195" t="s">
        <v>65</v>
      </c>
      <c r="DL370" s="195"/>
      <c r="DM370" s="195"/>
      <c r="DN370" s="195" t="s">
        <v>66</v>
      </c>
      <c r="DO370" s="195" t="s">
        <v>67</v>
      </c>
      <c r="DP370" s="195"/>
      <c r="DQ370" s="195" t="s">
        <v>68</v>
      </c>
    </row>
    <row r="371" spans="115:121" ht="12" customHeight="1">
      <c r="DK371" s="195" t="s">
        <v>69</v>
      </c>
      <c r="DL371" s="195"/>
      <c r="DM371" s="195"/>
      <c r="DN371" s="195" t="s">
        <v>70</v>
      </c>
      <c r="DO371" s="195" t="s">
        <v>71</v>
      </c>
      <c r="DP371" s="195"/>
      <c r="DQ371" s="195" t="s">
        <v>72</v>
      </c>
    </row>
    <row r="372" spans="115:121" ht="12" customHeight="1">
      <c r="DK372" s="195" t="s">
        <v>73</v>
      </c>
      <c r="DL372" s="195"/>
      <c r="DM372" s="195"/>
      <c r="DN372" s="195" t="s">
        <v>74</v>
      </c>
      <c r="DO372" s="195" t="s">
        <v>75</v>
      </c>
      <c r="DP372" s="195"/>
      <c r="DQ372" s="195" t="s">
        <v>76</v>
      </c>
    </row>
    <row r="373" spans="115:121" ht="12" customHeight="1">
      <c r="DK373" s="206" t="s">
        <v>77</v>
      </c>
      <c r="DL373" s="195"/>
      <c r="DM373" s="195"/>
      <c r="DN373" s="195" t="s">
        <v>78</v>
      </c>
      <c r="DO373" s="195" t="s">
        <v>79</v>
      </c>
      <c r="DP373" s="195"/>
      <c r="DQ373" s="195" t="s">
        <v>80</v>
      </c>
    </row>
    <row r="374" spans="115:121" ht="12" customHeight="1">
      <c r="DK374" s="195" t="s">
        <v>81</v>
      </c>
      <c r="DL374" s="195"/>
      <c r="DM374" s="195"/>
      <c r="DN374" s="195" t="s">
        <v>82</v>
      </c>
      <c r="DO374" s="195" t="s">
        <v>83</v>
      </c>
      <c r="DP374" s="195"/>
      <c r="DQ374" s="195" t="s">
        <v>84</v>
      </c>
    </row>
    <row r="375" spans="115:121" ht="12" customHeight="1">
      <c r="DK375" s="195"/>
      <c r="DL375" s="195"/>
      <c r="DM375" s="195"/>
      <c r="DN375" s="195" t="s">
        <v>85</v>
      </c>
      <c r="DO375" s="195" t="s">
        <v>86</v>
      </c>
      <c r="DP375" s="195"/>
      <c r="DQ375" s="195"/>
    </row>
  </sheetData>
  <sheetProtection/>
  <mergeCells count="351">
    <mergeCell ref="Q25:BB25"/>
    <mergeCell ref="C25:P25"/>
    <mergeCell ref="C88:G88"/>
    <mergeCell ref="H88:K88"/>
    <mergeCell ref="L88:N88"/>
    <mergeCell ref="S88:V88"/>
    <mergeCell ref="C87:G87"/>
    <mergeCell ref="H87:K87"/>
    <mergeCell ref="L87:N87"/>
    <mergeCell ref="AI88:AM88"/>
    <mergeCell ref="AA88:AD88"/>
    <mergeCell ref="AE88:AH88"/>
    <mergeCell ref="W88:Z88"/>
    <mergeCell ref="AS88:AW88"/>
    <mergeCell ref="AX86:BB86"/>
    <mergeCell ref="AX87:BB87"/>
    <mergeCell ref="S86:V86"/>
    <mergeCell ref="AS86:AW86"/>
    <mergeCell ref="AI86:AM86"/>
    <mergeCell ref="AA86:AD86"/>
    <mergeCell ref="AE86:AH86"/>
    <mergeCell ref="S87:V87"/>
    <mergeCell ref="AI87:AM87"/>
    <mergeCell ref="AA87:AD87"/>
    <mergeCell ref="AE87:AH87"/>
    <mergeCell ref="W87:Z87"/>
    <mergeCell ref="O85:R85"/>
    <mergeCell ref="C86:G86"/>
    <mergeCell ref="H86:K86"/>
    <mergeCell ref="L86:N86"/>
    <mergeCell ref="C85:G85"/>
    <mergeCell ref="H85:K85"/>
    <mergeCell ref="L85:N85"/>
    <mergeCell ref="O86:R86"/>
    <mergeCell ref="H84:K84"/>
    <mergeCell ref="L84:N84"/>
    <mergeCell ref="H80:K83"/>
    <mergeCell ref="L80:N83"/>
    <mergeCell ref="AI84:AM84"/>
    <mergeCell ref="AI85:AM85"/>
    <mergeCell ref="AA85:AD85"/>
    <mergeCell ref="AE85:AH85"/>
    <mergeCell ref="AA84:AD84"/>
    <mergeCell ref="AE84:AH84"/>
    <mergeCell ref="S80:V83"/>
    <mergeCell ref="AB76:AG76"/>
    <mergeCell ref="AH76:AJ76"/>
    <mergeCell ref="AI80:AM83"/>
    <mergeCell ref="AA80:AH81"/>
    <mergeCell ref="AA82:AD83"/>
    <mergeCell ref="AE82:AH83"/>
    <mergeCell ref="AK77:AM77"/>
    <mergeCell ref="AN77:AP77"/>
    <mergeCell ref="AK76:AM76"/>
    <mergeCell ref="T76:W76"/>
    <mergeCell ref="X76:AA76"/>
    <mergeCell ref="T77:W77"/>
    <mergeCell ref="X77:AA77"/>
    <mergeCell ref="AB77:AG77"/>
    <mergeCell ref="AH77:AJ77"/>
    <mergeCell ref="L77:O77"/>
    <mergeCell ref="P77:S77"/>
    <mergeCell ref="C76:G76"/>
    <mergeCell ref="H76:K76"/>
    <mergeCell ref="L76:O76"/>
    <mergeCell ref="P76:S76"/>
    <mergeCell ref="AK67:AP67"/>
    <mergeCell ref="AB72:AG75"/>
    <mergeCell ref="AH72:AM73"/>
    <mergeCell ref="C72:W73"/>
    <mergeCell ref="R69:T69"/>
    <mergeCell ref="AK69:AP69"/>
    <mergeCell ref="T74:W75"/>
    <mergeCell ref="C74:G75"/>
    <mergeCell ref="H74:K75"/>
    <mergeCell ref="L74:O75"/>
    <mergeCell ref="AG69:AJ69"/>
    <mergeCell ref="C69:F69"/>
    <mergeCell ref="G69:K69"/>
    <mergeCell ref="AC69:AF69"/>
    <mergeCell ref="L69:Q69"/>
    <mergeCell ref="R67:T67"/>
    <mergeCell ref="Y69:AB69"/>
    <mergeCell ref="C46:L46"/>
    <mergeCell ref="AU71:BB71"/>
    <mergeCell ref="AU68:BB68"/>
    <mergeCell ref="AU64:BB64"/>
    <mergeCell ref="AU65:BB65"/>
    <mergeCell ref="AU66:BB66"/>
    <mergeCell ref="AU69:BB69"/>
    <mergeCell ref="AU67:BB67"/>
    <mergeCell ref="AQ69:AT69"/>
    <mergeCell ref="G67:K67"/>
    <mergeCell ref="M46:O46"/>
    <mergeCell ref="AU59:AX59"/>
    <mergeCell ref="AY59:BB59"/>
    <mergeCell ref="AU45:AX45"/>
    <mergeCell ref="AU46:AX46"/>
    <mergeCell ref="AK54:BB54"/>
    <mergeCell ref="AY45:BB45"/>
    <mergeCell ref="AJ56:BB56"/>
    <mergeCell ref="J52:AS52"/>
    <mergeCell ref="W45:AA45"/>
    <mergeCell ref="AA53:AJ53"/>
    <mergeCell ref="R64:T66"/>
    <mergeCell ref="U65:X66"/>
    <mergeCell ref="AG45:AK45"/>
    <mergeCell ref="S46:V46"/>
    <mergeCell ref="U64:AF64"/>
    <mergeCell ref="H56:AA56"/>
    <mergeCell ref="C53:H53"/>
    <mergeCell ref="C49:G49"/>
    <mergeCell ref="C55:G55"/>
    <mergeCell ref="P46:R46"/>
    <mergeCell ref="AU43:AX43"/>
    <mergeCell ref="H55:AA55"/>
    <mergeCell ref="AU52:AX52"/>
    <mergeCell ref="C51:I51"/>
    <mergeCell ref="AB55:AI55"/>
    <mergeCell ref="AJ55:BB55"/>
    <mergeCell ref="I54:Z54"/>
    <mergeCell ref="S45:V45"/>
    <mergeCell ref="AQ46:AT46"/>
    <mergeCell ref="C45:L45"/>
    <mergeCell ref="M45:O45"/>
    <mergeCell ref="P45:R45"/>
    <mergeCell ref="AQ45:AT45"/>
    <mergeCell ref="AK53:BB53"/>
    <mergeCell ref="AY46:BB46"/>
    <mergeCell ref="W46:AA46"/>
    <mergeCell ref="AB46:AF46"/>
    <mergeCell ref="I53:Z53"/>
    <mergeCell ref="AG46:AK46"/>
    <mergeCell ref="AQ44:AT44"/>
    <mergeCell ref="AL43:AP43"/>
    <mergeCell ref="AQ43:AT43"/>
    <mergeCell ref="AB45:AF45"/>
    <mergeCell ref="AG43:AK43"/>
    <mergeCell ref="W41:AA41"/>
    <mergeCell ref="W42:AA42"/>
    <mergeCell ref="W43:AA43"/>
    <mergeCell ref="W44:AA44"/>
    <mergeCell ref="AL42:AP42"/>
    <mergeCell ref="S39:V39"/>
    <mergeCell ref="AL46:AP46"/>
    <mergeCell ref="AL45:AP45"/>
    <mergeCell ref="W39:AA39"/>
    <mergeCell ref="S43:V43"/>
    <mergeCell ref="S44:V44"/>
    <mergeCell ref="AB44:AF44"/>
    <mergeCell ref="AB43:AF43"/>
    <mergeCell ref="S42:V42"/>
    <mergeCell ref="AB42:AF42"/>
    <mergeCell ref="C33:H33"/>
    <mergeCell ref="P39:R39"/>
    <mergeCell ref="M39:O39"/>
    <mergeCell ref="C36:BB36"/>
    <mergeCell ref="C37:L38"/>
    <mergeCell ref="P37:R38"/>
    <mergeCell ref="AL37:AP38"/>
    <mergeCell ref="AG37:AK38"/>
    <mergeCell ref="AB39:AF39"/>
    <mergeCell ref="AB41:AF41"/>
    <mergeCell ref="AB40:AF40"/>
    <mergeCell ref="AG41:AK41"/>
    <mergeCell ref="AB37:AF38"/>
    <mergeCell ref="C44:L44"/>
    <mergeCell ref="C40:L40"/>
    <mergeCell ref="M40:O40"/>
    <mergeCell ref="C39:L39"/>
    <mergeCell ref="C43:L43"/>
    <mergeCell ref="M42:O42"/>
    <mergeCell ref="AL40:AP40"/>
    <mergeCell ref="M37:O38"/>
    <mergeCell ref="S37:V38"/>
    <mergeCell ref="S40:V40"/>
    <mergeCell ref="W40:AA40"/>
    <mergeCell ref="P40:R40"/>
    <mergeCell ref="AG44:AK44"/>
    <mergeCell ref="AG42:AK42"/>
    <mergeCell ref="AQ37:AT38"/>
    <mergeCell ref="AU41:AX41"/>
    <mergeCell ref="AL41:AP41"/>
    <mergeCell ref="AL44:AP44"/>
    <mergeCell ref="AU44:AX44"/>
    <mergeCell ref="AU42:AX42"/>
    <mergeCell ref="AL39:AP39"/>
    <mergeCell ref="AG39:AK39"/>
    <mergeCell ref="D18:E18"/>
    <mergeCell ref="G18:L18"/>
    <mergeCell ref="C16:BB16"/>
    <mergeCell ref="C21:F21"/>
    <mergeCell ref="AU39:AX39"/>
    <mergeCell ref="AQ39:AT39"/>
    <mergeCell ref="AY39:BB39"/>
    <mergeCell ref="C27:H27"/>
    <mergeCell ref="I26:BB26"/>
    <mergeCell ref="I27:BB27"/>
    <mergeCell ref="G22:T22"/>
    <mergeCell ref="X22:AJ22"/>
    <mergeCell ref="X21:AJ21"/>
    <mergeCell ref="G21:T21"/>
    <mergeCell ref="B1:BC1"/>
    <mergeCell ref="AQ21:BB21"/>
    <mergeCell ref="AP3:BB7"/>
    <mergeCell ref="AS9:BB9"/>
    <mergeCell ref="U21:W21"/>
    <mergeCell ref="AK21:AP21"/>
    <mergeCell ref="I28:BB28"/>
    <mergeCell ref="AY37:BB38"/>
    <mergeCell ref="AU37:AX38"/>
    <mergeCell ref="W37:AA38"/>
    <mergeCell ref="I33:BB33"/>
    <mergeCell ref="I29:BB29"/>
    <mergeCell ref="I30:BB30"/>
    <mergeCell ref="AB31:AL31"/>
    <mergeCell ref="AG58:AO58"/>
    <mergeCell ref="AP57:AR57"/>
    <mergeCell ref="AB57:AF57"/>
    <mergeCell ref="AS58:BB58"/>
    <mergeCell ref="C31:H31"/>
    <mergeCell ref="C29:H29"/>
    <mergeCell ref="AY40:BB40"/>
    <mergeCell ref="AQ42:AT42"/>
    <mergeCell ref="AQ41:AT41"/>
    <mergeCell ref="AY41:BB41"/>
    <mergeCell ref="C68:F68"/>
    <mergeCell ref="G68:K68"/>
    <mergeCell ref="L67:Q67"/>
    <mergeCell ref="U68:X68"/>
    <mergeCell ref="J58:T58"/>
    <mergeCell ref="AS57:BB57"/>
    <mergeCell ref="U57:X57"/>
    <mergeCell ref="J57:T57"/>
    <mergeCell ref="Y57:AA57"/>
    <mergeCell ref="AG57:AO57"/>
    <mergeCell ref="AK68:AP68"/>
    <mergeCell ref="Y65:AB66"/>
    <mergeCell ref="AC68:AF68"/>
    <mergeCell ref="AG68:AJ68"/>
    <mergeCell ref="AC67:AF67"/>
    <mergeCell ref="C57:I57"/>
    <mergeCell ref="U67:X67"/>
    <mergeCell ref="L68:Q68"/>
    <mergeCell ref="R68:T68"/>
    <mergeCell ref="G64:K66"/>
    <mergeCell ref="C63:AT63"/>
    <mergeCell ref="AG64:AP64"/>
    <mergeCell ref="AB59:AH59"/>
    <mergeCell ref="Y67:AB67"/>
    <mergeCell ref="L64:Q66"/>
    <mergeCell ref="U69:X69"/>
    <mergeCell ref="AK65:AP66"/>
    <mergeCell ref="AG65:AJ66"/>
    <mergeCell ref="AC65:AF66"/>
    <mergeCell ref="Y68:AB68"/>
    <mergeCell ref="M44:O44"/>
    <mergeCell ref="P43:R43"/>
    <mergeCell ref="P44:R44"/>
    <mergeCell ref="M43:O43"/>
    <mergeCell ref="P41:R41"/>
    <mergeCell ref="C41:L41"/>
    <mergeCell ref="C42:L42"/>
    <mergeCell ref="P42:R42"/>
    <mergeCell ref="M41:O41"/>
    <mergeCell ref="AY44:BB44"/>
    <mergeCell ref="AG40:AK40"/>
    <mergeCell ref="S41:V41"/>
    <mergeCell ref="AQ68:AT68"/>
    <mergeCell ref="AQ67:AT67"/>
    <mergeCell ref="AY43:BB43"/>
    <mergeCell ref="AI59:AT59"/>
    <mergeCell ref="AI60:AT60"/>
    <mergeCell ref="AQ64:AT66"/>
    <mergeCell ref="AG67:AJ67"/>
    <mergeCell ref="AM31:AQ31"/>
    <mergeCell ref="I31:V31"/>
    <mergeCell ref="W31:AA31"/>
    <mergeCell ref="I34:BB34"/>
    <mergeCell ref="AT75:AW75"/>
    <mergeCell ref="AV49:AW49"/>
    <mergeCell ref="AU50:AX50"/>
    <mergeCell ref="AY42:BB42"/>
    <mergeCell ref="AQ40:AT40"/>
    <mergeCell ref="AU40:AX40"/>
    <mergeCell ref="C80:G84"/>
    <mergeCell ref="AT76:BB76"/>
    <mergeCell ref="AK74:AM75"/>
    <mergeCell ref="AH74:AJ75"/>
    <mergeCell ref="AN72:AP75"/>
    <mergeCell ref="AN76:AP76"/>
    <mergeCell ref="X72:AA75"/>
    <mergeCell ref="P74:S75"/>
    <mergeCell ref="C77:G77"/>
    <mergeCell ref="H77:K77"/>
    <mergeCell ref="X13:Y13"/>
    <mergeCell ref="C90:L90"/>
    <mergeCell ref="M90:AD90"/>
    <mergeCell ref="AT72:BB72"/>
    <mergeCell ref="AT73:BB73"/>
    <mergeCell ref="AT74:BB74"/>
    <mergeCell ref="AT77:BB77"/>
    <mergeCell ref="AQ76:AS76"/>
    <mergeCell ref="AQ77:AS77"/>
    <mergeCell ref="AQ72:AS75"/>
    <mergeCell ref="Z11:AG12"/>
    <mergeCell ref="AH11:AO12"/>
    <mergeCell ref="AP11:AW12"/>
    <mergeCell ref="Z13:AG13"/>
    <mergeCell ref="AH13:AO13"/>
    <mergeCell ref="AP13:AW13"/>
    <mergeCell ref="F24:BB24"/>
    <mergeCell ref="J51:AS51"/>
    <mergeCell ref="AV51:AW51"/>
    <mergeCell ref="H49:AS49"/>
    <mergeCell ref="H50:AS50"/>
    <mergeCell ref="H14:L14"/>
    <mergeCell ref="AB32:AL32"/>
    <mergeCell ref="I32:V32"/>
    <mergeCell ref="AR31:BB31"/>
    <mergeCell ref="AR32:BB32"/>
    <mergeCell ref="AS80:BB81"/>
    <mergeCell ref="AS82:AW83"/>
    <mergeCell ref="AS84:AW84"/>
    <mergeCell ref="AX82:BB83"/>
    <mergeCell ref="AX84:BB84"/>
    <mergeCell ref="E14:F14"/>
    <mergeCell ref="C64:F67"/>
    <mergeCell ref="C71:AS71"/>
    <mergeCell ref="AX75:BB75"/>
    <mergeCell ref="F23:BB23"/>
    <mergeCell ref="AX88:BB88"/>
    <mergeCell ref="AN80:AR83"/>
    <mergeCell ref="AN84:AR84"/>
    <mergeCell ref="AN85:AR85"/>
    <mergeCell ref="AN86:AR86"/>
    <mergeCell ref="AN87:AR87"/>
    <mergeCell ref="AN88:AR88"/>
    <mergeCell ref="AS85:AW85"/>
    <mergeCell ref="AX85:BB85"/>
    <mergeCell ref="AS87:AW87"/>
    <mergeCell ref="O87:R87"/>
    <mergeCell ref="O88:R88"/>
    <mergeCell ref="W80:Z83"/>
    <mergeCell ref="W84:Z84"/>
    <mergeCell ref="W85:Z85"/>
    <mergeCell ref="W86:Z86"/>
    <mergeCell ref="S84:V84"/>
    <mergeCell ref="S85:V85"/>
    <mergeCell ref="O84:R84"/>
    <mergeCell ref="O80:R83"/>
  </mergeCells>
  <dataValidations count="2">
    <dataValidation type="list" allowBlank="1" showInputMessage="1" showErrorMessage="1" sqref="M40:O45">
      <formula1>$C$121:$C$131</formula1>
    </dataValidation>
    <dataValidation type="list" allowBlank="1" showInputMessage="1" showErrorMessage="1" sqref="AB40:AF45">
      <formula1>$F$121:$F$126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7" min="2" max="5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7"/>
  </sheetPr>
  <dimension ref="B1:DX375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54" width="2.25390625" style="1" customWidth="1"/>
    <col min="55" max="55" width="2.25390625" style="1" hidden="1" customWidth="1"/>
    <col min="56" max="62" width="2.75390625" style="1" customWidth="1"/>
    <col min="63" max="63" width="2.75390625" style="125" hidden="1" customWidth="1"/>
    <col min="64" max="67" width="2.75390625" style="120" hidden="1" customWidth="1"/>
    <col min="68" max="68" width="2.75390625" style="125" hidden="1" customWidth="1"/>
    <col min="69" max="75" width="0" style="1" hidden="1" customWidth="1"/>
    <col min="76" max="112" width="2.75390625" style="1" customWidth="1"/>
    <col min="113" max="114" width="0" style="125" hidden="1" customWidth="1"/>
    <col min="115" max="115" width="16.125" style="208" hidden="1" customWidth="1"/>
    <col min="116" max="117" width="2.75390625" style="208" hidden="1" customWidth="1"/>
    <col min="118" max="118" width="7.00390625" style="208" hidden="1" customWidth="1"/>
    <col min="119" max="119" width="7.625" style="208" hidden="1" customWidth="1"/>
    <col min="120" max="121" width="2.75390625" style="208" hidden="1" customWidth="1"/>
    <col min="122" max="122" width="0" style="125" hidden="1" customWidth="1"/>
    <col min="123" max="123" width="2.75390625" style="125" hidden="1" customWidth="1"/>
    <col min="124" max="127" width="0" style="125" hidden="1" customWidth="1"/>
    <col min="128" max="16384" width="2.75390625" style="1" customWidth="1"/>
  </cols>
  <sheetData>
    <row r="1" spans="2:121" ht="19.5" customHeight="1" thickBot="1">
      <c r="B1" s="322" t="s">
        <v>207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DK1" s="125"/>
      <c r="DL1" s="125"/>
      <c r="DM1" s="125"/>
      <c r="DN1" s="125"/>
      <c r="DO1" s="125"/>
      <c r="DP1" s="125"/>
      <c r="DQ1" s="125"/>
    </row>
    <row r="2" spans="2:121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1"/>
      <c r="DK2" s="187"/>
      <c r="DL2" s="188"/>
      <c r="DM2" s="188"/>
      <c r="DN2" s="188"/>
      <c r="DO2" s="189"/>
      <c r="DP2" s="187"/>
      <c r="DQ2" s="190"/>
    </row>
    <row r="3" spans="2:121" ht="9.75" customHeight="1">
      <c r="B3" s="12"/>
      <c r="C3" s="92"/>
      <c r="D3" s="92"/>
      <c r="E3" s="92"/>
      <c r="F3" s="92"/>
      <c r="G3" s="92"/>
      <c r="H3" s="92"/>
      <c r="I3" s="92"/>
      <c r="J3" s="92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4"/>
      <c r="AL3" s="94"/>
      <c r="AM3" s="94"/>
      <c r="AN3" s="94"/>
      <c r="AO3" s="93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136" t="s">
        <v>195</v>
      </c>
      <c r="BC3" s="92"/>
      <c r="BD3" s="14"/>
      <c r="DK3" s="191"/>
      <c r="DL3" s="192"/>
      <c r="DM3" s="191"/>
      <c r="DN3" s="191"/>
      <c r="DO3" s="193"/>
      <c r="DP3" s="191"/>
      <c r="DQ3" s="191"/>
    </row>
    <row r="4" spans="2:121" ht="9.75" customHeight="1">
      <c r="B4" s="12"/>
      <c r="C4" s="92"/>
      <c r="D4" s="92"/>
      <c r="E4" s="92"/>
      <c r="F4" s="92"/>
      <c r="G4" s="92"/>
      <c r="H4" s="92"/>
      <c r="I4" s="92"/>
      <c r="J4" s="92"/>
      <c r="K4" s="92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93"/>
      <c r="AK4" s="94"/>
      <c r="AL4" s="94"/>
      <c r="AM4" s="94"/>
      <c r="AN4" s="94"/>
      <c r="AO4" s="93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136" t="s">
        <v>196</v>
      </c>
      <c r="BC4" s="92"/>
      <c r="BD4" s="14"/>
      <c r="DK4" s="191"/>
      <c r="DL4" s="192"/>
      <c r="DM4" s="191"/>
      <c r="DN4" s="191"/>
      <c r="DO4" s="191"/>
      <c r="DP4" s="191"/>
      <c r="DQ4" s="191"/>
    </row>
    <row r="5" spans="2:121" ht="9.75" customHeight="1">
      <c r="B5" s="12"/>
      <c r="C5" s="92"/>
      <c r="D5" s="92"/>
      <c r="E5" s="92"/>
      <c r="F5" s="92"/>
      <c r="G5" s="92"/>
      <c r="H5" s="92"/>
      <c r="I5" s="92"/>
      <c r="J5" s="92"/>
      <c r="K5" s="92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136" t="s">
        <v>197</v>
      </c>
      <c r="BC5" s="92"/>
      <c r="BD5" s="14"/>
      <c r="DK5" s="191"/>
      <c r="DL5" s="192"/>
      <c r="DM5" s="191"/>
      <c r="DN5" s="191"/>
      <c r="DO5" s="191"/>
      <c r="DP5" s="191"/>
      <c r="DQ5" s="191"/>
    </row>
    <row r="6" spans="2:121" ht="9.75" customHeight="1">
      <c r="B6" s="12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2"/>
      <c r="O6" s="9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5"/>
      <c r="AN6" s="75"/>
      <c r="AO6" s="75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93" t="s">
        <v>198</v>
      </c>
      <c r="BC6" s="95"/>
      <c r="BD6" s="14"/>
      <c r="DK6" s="191"/>
      <c r="DL6" s="192"/>
      <c r="DM6" s="191"/>
      <c r="DN6" s="191"/>
      <c r="DO6" s="191"/>
      <c r="DP6" s="192"/>
      <c r="DQ6" s="192"/>
    </row>
    <row r="7" spans="2:121" ht="9.75" customHeight="1">
      <c r="B7" s="12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2"/>
      <c r="O7" s="9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5"/>
      <c r="AN7" s="75"/>
      <c r="AO7" s="75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93" t="s">
        <v>199</v>
      </c>
      <c r="BC7" s="95"/>
      <c r="BD7" s="14"/>
      <c r="BL7" s="121"/>
      <c r="BM7" s="121">
        <f>IF(BM8=1,0,2)</f>
        <v>0</v>
      </c>
      <c r="BN7" s="121"/>
      <c r="BO7" s="121"/>
      <c r="DK7" s="187"/>
      <c r="DL7" s="187"/>
      <c r="DM7" s="187"/>
      <c r="DN7" s="194"/>
      <c r="DO7" s="187"/>
      <c r="DP7" s="187"/>
      <c r="DQ7" s="187"/>
    </row>
    <row r="8" spans="2:121" ht="12" customHeight="1">
      <c r="B8" s="12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2"/>
      <c r="O8" s="9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5"/>
      <c r="AN8" s="75"/>
      <c r="AO8" s="75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95"/>
      <c r="BD8" s="14"/>
      <c r="BL8" s="121"/>
      <c r="BM8" s="121">
        <v>1</v>
      </c>
      <c r="BN8" s="121"/>
      <c r="BO8" s="122" t="str">
        <f>VLOOKUP(BM8,BN9:BO12,2)</f>
        <v>руб.</v>
      </c>
      <c r="DK8" s="195"/>
      <c r="DL8" s="187"/>
      <c r="DM8" s="187"/>
      <c r="DN8" s="194"/>
      <c r="DO8" s="187"/>
      <c r="DP8" s="196"/>
      <c r="DQ8" s="195"/>
    </row>
    <row r="9" spans="2:121" ht="12" customHeight="1">
      <c r="B9" s="12"/>
      <c r="C9" s="135" t="s">
        <v>176</v>
      </c>
      <c r="D9" s="135"/>
      <c r="E9" s="75"/>
      <c r="F9" s="75"/>
      <c r="G9" s="75"/>
      <c r="H9" s="75"/>
      <c r="I9" s="75"/>
      <c r="J9" s="75"/>
      <c r="K9" s="75"/>
      <c r="L9" s="96"/>
      <c r="M9" s="96"/>
      <c r="N9" s="92"/>
      <c r="O9" s="92"/>
      <c r="P9" s="92"/>
      <c r="Q9" s="92"/>
      <c r="R9" s="404" t="s">
        <v>4</v>
      </c>
      <c r="S9" s="404"/>
      <c r="T9" s="404"/>
      <c r="U9" s="404"/>
      <c r="V9" s="404"/>
      <c r="W9" s="404"/>
      <c r="X9" s="404" t="s">
        <v>5</v>
      </c>
      <c r="Y9" s="404"/>
      <c r="Z9" s="404"/>
      <c r="AA9" s="404"/>
      <c r="AB9" s="404"/>
      <c r="AC9" s="404"/>
      <c r="AD9" s="404" t="s">
        <v>87</v>
      </c>
      <c r="AE9" s="404"/>
      <c r="AF9" s="404"/>
      <c r="AG9" s="404"/>
      <c r="AH9" s="404"/>
      <c r="AI9" s="404"/>
      <c r="AJ9" s="404"/>
      <c r="AK9" s="404"/>
      <c r="AL9" s="404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75"/>
      <c r="AY9" s="75"/>
      <c r="AZ9" s="75"/>
      <c r="BA9" s="75"/>
      <c r="BB9" s="93" t="s">
        <v>179</v>
      </c>
      <c r="BC9" s="75"/>
      <c r="BD9" s="14"/>
      <c r="BL9" s="121">
        <v>1</v>
      </c>
      <c r="BM9" s="121" t="s">
        <v>171</v>
      </c>
      <c r="BN9" s="123">
        <v>1</v>
      </c>
      <c r="BO9" s="123" t="s">
        <v>172</v>
      </c>
      <c r="DK9" s="195"/>
      <c r="DL9" s="197"/>
      <c r="DM9" s="187"/>
      <c r="DN9" s="198"/>
      <c r="DO9" s="187"/>
      <c r="DP9" s="196"/>
      <c r="DQ9" s="195"/>
    </row>
    <row r="10" spans="2:121" ht="12" customHeight="1">
      <c r="B10" s="12"/>
      <c r="C10" s="92" t="s">
        <v>177</v>
      </c>
      <c r="D10" s="92"/>
      <c r="E10" s="92"/>
      <c r="F10" s="92"/>
      <c r="G10" s="92"/>
      <c r="H10" s="92"/>
      <c r="I10" s="92"/>
      <c r="J10" s="92"/>
      <c r="K10" s="92"/>
      <c r="L10" s="96"/>
      <c r="M10" s="96"/>
      <c r="N10" s="92"/>
      <c r="O10" s="92"/>
      <c r="P10" s="92"/>
      <c r="Q10" s="9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75"/>
      <c r="AY10" s="75"/>
      <c r="AZ10" s="75"/>
      <c r="BA10" s="75"/>
      <c r="BB10" s="75"/>
      <c r="BC10" s="75"/>
      <c r="BD10" s="14"/>
      <c r="BL10" s="121">
        <v>2</v>
      </c>
      <c r="BM10" s="121" t="s">
        <v>173</v>
      </c>
      <c r="BN10" s="124">
        <v>2</v>
      </c>
      <c r="BO10" s="123" t="s">
        <v>172</v>
      </c>
      <c r="DK10" s="195"/>
      <c r="DL10" s="195"/>
      <c r="DM10" s="195"/>
      <c r="DN10" s="199"/>
      <c r="DO10" s="200"/>
      <c r="DP10" s="196"/>
      <c r="DQ10" s="195"/>
    </row>
    <row r="11" spans="2:121" ht="12" customHeight="1">
      <c r="B11" s="12"/>
      <c r="C11" s="92" t="s">
        <v>178</v>
      </c>
      <c r="D11" s="92"/>
      <c r="E11" s="92"/>
      <c r="F11" s="92"/>
      <c r="G11" s="92"/>
      <c r="H11" s="92"/>
      <c r="I11" s="92"/>
      <c r="J11" s="92"/>
      <c r="K11" s="92"/>
      <c r="L11" s="75"/>
      <c r="M11" s="75"/>
      <c r="N11" s="92"/>
      <c r="O11" s="92"/>
      <c r="P11" s="403" t="s">
        <v>88</v>
      </c>
      <c r="Q11" s="403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3"/>
      <c r="AE11" s="263"/>
      <c r="AF11" s="263"/>
      <c r="AG11" s="263"/>
      <c r="AH11" s="263"/>
      <c r="AI11" s="263"/>
      <c r="AJ11" s="263"/>
      <c r="AK11" s="263"/>
      <c r="AL11" s="263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75"/>
      <c r="AY11" s="75"/>
      <c r="AZ11" s="75"/>
      <c r="BA11" s="75"/>
      <c r="BB11" s="75"/>
      <c r="BC11" s="75"/>
      <c r="BD11" s="14"/>
      <c r="BL11" s="121">
        <v>3</v>
      </c>
      <c r="BM11" s="121" t="s">
        <v>174</v>
      </c>
      <c r="BN11" s="124">
        <v>3</v>
      </c>
      <c r="BO11" s="123" t="s">
        <v>174</v>
      </c>
      <c r="DK11" s="195"/>
      <c r="DL11" s="195"/>
      <c r="DM11" s="195"/>
      <c r="DN11" s="199"/>
      <c r="DO11" s="200"/>
      <c r="DP11" s="195"/>
      <c r="DQ11" s="195"/>
    </row>
    <row r="12" spans="2:121" ht="12" customHeight="1">
      <c r="B12" s="12"/>
      <c r="C12" s="92" t="s">
        <v>89</v>
      </c>
      <c r="D12" s="92"/>
      <c r="E12" s="92"/>
      <c r="F12" s="400"/>
      <c r="G12" s="400"/>
      <c r="H12" s="400"/>
      <c r="I12" s="400"/>
      <c r="J12" s="400"/>
      <c r="K12" s="400"/>
      <c r="L12" s="400"/>
      <c r="M12" s="75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75"/>
      <c r="AY12" s="75"/>
      <c r="AZ12" s="75"/>
      <c r="BA12" s="75"/>
      <c r="BB12" s="75"/>
      <c r="BC12" s="75"/>
      <c r="BD12" s="14"/>
      <c r="BL12" s="121">
        <v>4</v>
      </c>
      <c r="BM12" s="121" t="s">
        <v>175</v>
      </c>
      <c r="BN12" s="124">
        <v>4</v>
      </c>
      <c r="BO12" s="123" t="s">
        <v>175</v>
      </c>
      <c r="DK12" s="195"/>
      <c r="DL12" s="195"/>
      <c r="DM12" s="195"/>
      <c r="DN12" s="199"/>
      <c r="DO12" s="200"/>
      <c r="DP12" s="195"/>
      <c r="DQ12" s="195"/>
    </row>
    <row r="13" spans="2:121" ht="12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95"/>
      <c r="AY13" s="95"/>
      <c r="AZ13" s="95"/>
      <c r="BA13" s="95"/>
      <c r="BB13" s="95"/>
      <c r="BC13" s="95"/>
      <c r="BD13" s="14"/>
      <c r="DK13" s="201"/>
      <c r="DL13" s="195"/>
      <c r="DM13" s="195"/>
      <c r="DN13" s="199"/>
      <c r="DO13" s="200"/>
      <c r="DP13" s="195"/>
      <c r="DQ13" s="195"/>
    </row>
    <row r="14" spans="2:121" ht="12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14"/>
      <c r="DK14" s="201"/>
      <c r="DL14" s="195"/>
      <c r="DM14" s="195"/>
      <c r="DN14" s="195"/>
      <c r="DO14" s="202"/>
      <c r="DP14" s="195"/>
      <c r="DQ14" s="195"/>
    </row>
    <row r="15" spans="2:121" ht="9.75" customHeight="1">
      <c r="B15" s="12"/>
      <c r="C15" s="328" t="s">
        <v>90</v>
      </c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83"/>
      <c r="BD15" s="14"/>
      <c r="DK15" s="203"/>
      <c r="DL15" s="199"/>
      <c r="DM15" s="195"/>
      <c r="DN15" s="195"/>
      <c r="DO15" s="195"/>
      <c r="DP15" s="195"/>
      <c r="DQ15" s="195"/>
    </row>
    <row r="16" spans="2:121" ht="12" customHeight="1">
      <c r="B16" s="12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14"/>
      <c r="DK16" s="203"/>
      <c r="DL16" s="199"/>
      <c r="DM16" s="195"/>
      <c r="DN16" s="195"/>
      <c r="DO16" s="195"/>
      <c r="DP16" s="195"/>
      <c r="DQ16" s="195"/>
    </row>
    <row r="17" spans="2:121" ht="12" customHeight="1">
      <c r="B17" s="12"/>
      <c r="C17" s="90"/>
      <c r="D17" s="97"/>
      <c r="E17" s="97"/>
      <c r="F17" s="91"/>
      <c r="G17" s="89"/>
      <c r="H17" s="89"/>
      <c r="I17" s="89"/>
      <c r="J17" s="89"/>
      <c r="K17" s="89"/>
      <c r="L17" s="89"/>
      <c r="M17" s="89"/>
      <c r="N17" s="98"/>
      <c r="O17" s="8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DK17" s="203"/>
      <c r="DL17" s="199"/>
      <c r="DM17" s="195"/>
      <c r="DN17" s="195"/>
      <c r="DO17" s="200"/>
      <c r="DP17" s="195"/>
      <c r="DQ17" s="195"/>
    </row>
    <row r="18" spans="2:121" ht="12" customHeight="1">
      <c r="B18" s="12"/>
      <c r="C18" s="90"/>
      <c r="D18" s="97"/>
      <c r="E18" s="97"/>
      <c r="F18" s="91"/>
      <c r="G18" s="89"/>
      <c r="H18" s="89"/>
      <c r="I18" s="89"/>
      <c r="J18" s="89"/>
      <c r="K18" s="89"/>
      <c r="L18" s="89"/>
      <c r="M18" s="89"/>
      <c r="N18" s="98"/>
      <c r="O18" s="81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DK18" s="203"/>
      <c r="DL18" s="199"/>
      <c r="DM18" s="195"/>
      <c r="DN18" s="195"/>
      <c r="DO18" s="200"/>
      <c r="DP18" s="195"/>
      <c r="DQ18" s="195"/>
    </row>
    <row r="19" spans="2:121" ht="12" customHeight="1">
      <c r="B19" s="12"/>
      <c r="C19" s="90"/>
      <c r="D19" s="97"/>
      <c r="E19" s="97"/>
      <c r="F19" s="91"/>
      <c r="G19" s="89"/>
      <c r="H19" s="89"/>
      <c r="I19" s="89"/>
      <c r="J19" s="89"/>
      <c r="K19" s="89"/>
      <c r="L19" s="89"/>
      <c r="M19" s="89"/>
      <c r="N19" s="98"/>
      <c r="O19" s="81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4"/>
      <c r="DK19" s="203"/>
      <c r="DL19" s="199"/>
      <c r="DM19" s="195"/>
      <c r="DN19" s="195"/>
      <c r="DO19" s="200"/>
      <c r="DP19" s="195"/>
      <c r="DQ19" s="195"/>
    </row>
    <row r="20" spans="2:121" ht="12" customHeight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92"/>
      <c r="N20" s="92"/>
      <c r="O20" s="92"/>
      <c r="P20" s="92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DK20" s="203"/>
      <c r="DL20" s="199"/>
      <c r="DM20" s="195"/>
      <c r="DN20" s="195"/>
      <c r="DO20" s="200"/>
      <c r="DP20" s="195"/>
      <c r="DQ20" s="195"/>
    </row>
    <row r="21" spans="2:121" ht="12" customHeight="1">
      <c r="B21" s="12"/>
      <c r="C21" s="90" t="s">
        <v>91</v>
      </c>
      <c r="D21" s="408"/>
      <c r="E21" s="408"/>
      <c r="F21" s="91" t="s">
        <v>91</v>
      </c>
      <c r="G21" s="406"/>
      <c r="H21" s="406"/>
      <c r="I21" s="406"/>
      <c r="J21" s="406"/>
      <c r="K21" s="406"/>
      <c r="L21" s="406"/>
      <c r="M21" s="406"/>
      <c r="N21" s="406"/>
      <c r="O21" s="81" t="s">
        <v>92</v>
      </c>
      <c r="P21" s="92"/>
      <c r="Q21" s="9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DK21" s="203"/>
      <c r="DL21" s="199"/>
      <c r="DM21" s="195"/>
      <c r="DN21" s="195"/>
      <c r="DO21" s="200"/>
      <c r="DP21" s="195"/>
      <c r="DQ21" s="195"/>
    </row>
    <row r="22" spans="2:121" ht="12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4"/>
      <c r="DK22" s="203"/>
      <c r="DL22" s="199"/>
      <c r="DM22" s="195"/>
      <c r="DN22" s="195"/>
      <c r="DO22" s="200"/>
      <c r="DP22" s="195"/>
      <c r="DQ22" s="195"/>
    </row>
    <row r="23" spans="2:121" ht="12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2"/>
      <c r="AZ23" s="22"/>
      <c r="BA23" s="22"/>
      <c r="BB23" s="22"/>
      <c r="BC23" s="22"/>
      <c r="BD23" s="14"/>
      <c r="DK23" s="203"/>
      <c r="DL23" s="199"/>
      <c r="DM23" s="195"/>
      <c r="DN23" s="199"/>
      <c r="DO23" s="195"/>
      <c r="DP23" s="195"/>
      <c r="DQ23" s="195"/>
    </row>
    <row r="24" spans="2:121" ht="12" customHeight="1">
      <c r="B24" s="12"/>
      <c r="C24" s="407" t="s">
        <v>2</v>
      </c>
      <c r="D24" s="407"/>
      <c r="E24" s="407"/>
      <c r="F24" s="407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279" t="s">
        <v>9</v>
      </c>
      <c r="V24" s="279"/>
      <c r="W24" s="279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279" t="s">
        <v>3</v>
      </c>
      <c r="AL24" s="279"/>
      <c r="AM24" s="279"/>
      <c r="AN24" s="279"/>
      <c r="AO24" s="279"/>
      <c r="AP24" s="279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99"/>
      <c r="BD24" s="14"/>
      <c r="DK24" s="203"/>
      <c r="DL24" s="199"/>
      <c r="DM24" s="195"/>
      <c r="DN24" s="195"/>
      <c r="DO24" s="195"/>
      <c r="DP24" s="195"/>
      <c r="DQ24" s="195"/>
    </row>
    <row r="25" spans="2:121" ht="9.75" customHeight="1">
      <c r="B25" s="12"/>
      <c r="C25" s="24"/>
      <c r="D25" s="24"/>
      <c r="E25" s="24"/>
      <c r="F25" s="24"/>
      <c r="G25" s="371" t="s">
        <v>93</v>
      </c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24"/>
      <c r="V25" s="24"/>
      <c r="W25" s="24"/>
      <c r="X25" s="371" t="s">
        <v>93</v>
      </c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24"/>
      <c r="AL25" s="80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46"/>
      <c r="AZ25" s="46"/>
      <c r="BA25" s="46"/>
      <c r="BB25" s="46"/>
      <c r="BC25" s="46"/>
      <c r="BD25" s="14"/>
      <c r="DK25" s="203"/>
      <c r="DL25" s="199"/>
      <c r="DM25" s="195"/>
      <c r="DN25" s="195"/>
      <c r="DO25" s="200"/>
      <c r="DP25" s="195"/>
      <c r="DQ25" s="187"/>
    </row>
    <row r="26" spans="2:121" ht="12" customHeight="1">
      <c r="B26" s="12"/>
      <c r="C26" s="24" t="s">
        <v>181</v>
      </c>
      <c r="D26" s="24"/>
      <c r="E26" s="24"/>
      <c r="F26" s="24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99"/>
      <c r="BD26" s="14"/>
      <c r="DK26" s="203"/>
      <c r="DL26" s="199"/>
      <c r="DM26" s="195"/>
      <c r="DN26" s="195"/>
      <c r="DO26" s="200"/>
      <c r="DP26" s="195"/>
      <c r="DQ26" s="195"/>
    </row>
    <row r="27" spans="2:121" ht="9.75" customHeight="1">
      <c r="B27" s="12"/>
      <c r="C27" s="82"/>
      <c r="D27" s="82"/>
      <c r="E27" s="82"/>
      <c r="F27" s="82"/>
      <c r="G27" s="402" t="s">
        <v>182</v>
      </c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"/>
      <c r="BD27" s="14"/>
      <c r="DK27" s="203"/>
      <c r="DL27" s="199"/>
      <c r="DM27" s="195"/>
      <c r="DN27" s="195"/>
      <c r="DO27" s="195"/>
      <c r="DP27" s="195"/>
      <c r="DQ27" s="195"/>
    </row>
    <row r="28" spans="2:121" ht="12" customHeight="1">
      <c r="B28" s="12"/>
      <c r="C28" s="410" t="s">
        <v>87</v>
      </c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100"/>
      <c r="BD28" s="14"/>
      <c r="DK28" s="203"/>
      <c r="DL28" s="199"/>
      <c r="DM28" s="195"/>
      <c r="DN28" s="195"/>
      <c r="DO28" s="195"/>
      <c r="DP28" s="195"/>
      <c r="DQ28" s="195"/>
    </row>
    <row r="29" spans="2:121" ht="9.75" customHeight="1">
      <c r="B29" s="12"/>
      <c r="C29" s="80"/>
      <c r="D29" s="80"/>
      <c r="E29" s="80"/>
      <c r="F29" s="26"/>
      <c r="G29" s="26"/>
      <c r="H29" s="26"/>
      <c r="I29" s="411" t="s">
        <v>94</v>
      </c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"/>
      <c r="BD29" s="14"/>
      <c r="DK29" s="203"/>
      <c r="DL29" s="199"/>
      <c r="DM29" s="195"/>
      <c r="DN29" s="195"/>
      <c r="DO29" s="200"/>
      <c r="DP29" s="195"/>
      <c r="DQ29" s="195"/>
    </row>
    <row r="30" spans="2:121" ht="12" customHeight="1">
      <c r="B30" s="12"/>
      <c r="C30" s="412" t="s">
        <v>4</v>
      </c>
      <c r="D30" s="412"/>
      <c r="E30" s="412"/>
      <c r="F30" s="412"/>
      <c r="G30" s="412"/>
      <c r="H30" s="412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100"/>
      <c r="BD30" s="14"/>
      <c r="DK30" s="203"/>
      <c r="DL30" s="199"/>
      <c r="DM30" s="195"/>
      <c r="DN30" s="195"/>
      <c r="DO30" s="200"/>
      <c r="DP30" s="195"/>
      <c r="DQ30" s="195"/>
    </row>
    <row r="31" spans="2:121" ht="9.75" customHeight="1">
      <c r="B31" s="12"/>
      <c r="C31" s="80"/>
      <c r="D31" s="80"/>
      <c r="E31" s="80"/>
      <c r="F31" s="26"/>
      <c r="G31" s="26"/>
      <c r="H31" s="26"/>
      <c r="I31" s="371" t="s">
        <v>94</v>
      </c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4"/>
      <c r="BD31" s="14"/>
      <c r="DK31" s="203"/>
      <c r="DL31" s="199"/>
      <c r="DM31" s="195"/>
      <c r="DN31" s="195"/>
      <c r="DO31" s="200"/>
      <c r="DP31" s="195"/>
      <c r="DQ31" s="195"/>
    </row>
    <row r="32" spans="2:121" ht="12" customHeight="1">
      <c r="B32" s="12"/>
      <c r="C32" s="412" t="s">
        <v>5</v>
      </c>
      <c r="D32" s="412"/>
      <c r="E32" s="412"/>
      <c r="F32" s="412"/>
      <c r="G32" s="412"/>
      <c r="H32" s="412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100"/>
      <c r="BD32" s="14"/>
      <c r="DK32" s="203"/>
      <c r="DL32" s="199"/>
      <c r="DM32" s="195"/>
      <c r="DN32" s="195"/>
      <c r="DO32" s="195"/>
      <c r="DP32" s="195"/>
      <c r="DQ32" s="195"/>
    </row>
    <row r="33" spans="2:121" ht="9.75" customHeight="1">
      <c r="B33" s="12"/>
      <c r="C33" s="24"/>
      <c r="D33" s="24"/>
      <c r="E33" s="24"/>
      <c r="F33" s="24"/>
      <c r="G33" s="24"/>
      <c r="H33" s="24"/>
      <c r="I33" s="371" t="s">
        <v>94</v>
      </c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4"/>
      <c r="BD33" s="14"/>
      <c r="DK33" s="203"/>
      <c r="DL33" s="204"/>
      <c r="DM33" s="195"/>
      <c r="DN33" s="195"/>
      <c r="DO33" s="200"/>
      <c r="DP33" s="195"/>
      <c r="DQ33" s="199"/>
    </row>
    <row r="34" spans="2:121" ht="12" customHeight="1">
      <c r="B34" s="12"/>
      <c r="C34" s="414" t="s">
        <v>95</v>
      </c>
      <c r="D34" s="414"/>
      <c r="E34" s="414"/>
      <c r="F34" s="414"/>
      <c r="G34" s="414"/>
      <c r="H34" s="414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13" t="s">
        <v>6</v>
      </c>
      <c r="X34" s="413"/>
      <c r="Y34" s="413"/>
      <c r="Z34" s="413"/>
      <c r="AA34" s="413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13" t="s">
        <v>96</v>
      </c>
      <c r="AN34" s="413"/>
      <c r="AO34" s="413"/>
      <c r="AP34" s="413"/>
      <c r="AQ34" s="413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101"/>
      <c r="BD34" s="14"/>
      <c r="DK34" s="203"/>
      <c r="DL34" s="199"/>
      <c r="DM34" s="195"/>
      <c r="DN34" s="195"/>
      <c r="DO34" s="200"/>
      <c r="DP34" s="195"/>
      <c r="DQ34" s="199"/>
    </row>
    <row r="35" spans="2:121" ht="9.75" customHeight="1">
      <c r="B35" s="12"/>
      <c r="C35" s="24"/>
      <c r="D35" s="24"/>
      <c r="E35" s="24"/>
      <c r="F35" s="24"/>
      <c r="G35" s="24"/>
      <c r="H35" s="24"/>
      <c r="I35" s="256" t="s">
        <v>184</v>
      </c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4"/>
      <c r="X35" s="24"/>
      <c r="Y35" s="24"/>
      <c r="Z35" s="24"/>
      <c r="AA35" s="24"/>
      <c r="AB35" s="279" t="s">
        <v>7</v>
      </c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4"/>
      <c r="AN35" s="24"/>
      <c r="AO35" s="24"/>
      <c r="AP35" s="24"/>
      <c r="AQ35" s="24"/>
      <c r="AR35" s="279" t="s">
        <v>7</v>
      </c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4"/>
      <c r="BD35" s="14"/>
      <c r="DK35" s="201"/>
      <c r="DL35" s="204"/>
      <c r="DM35" s="199"/>
      <c r="DN35" s="195"/>
      <c r="DO35" s="200"/>
      <c r="DP35" s="195"/>
      <c r="DQ35" s="199"/>
    </row>
    <row r="36" spans="2:121" ht="12" customHeight="1">
      <c r="B36" s="12"/>
      <c r="C36" s="407" t="s">
        <v>8</v>
      </c>
      <c r="D36" s="407"/>
      <c r="E36" s="407"/>
      <c r="F36" s="407"/>
      <c r="G36" s="407"/>
      <c r="H36" s="407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99"/>
      <c r="BD36" s="14"/>
      <c r="DK36" s="205"/>
      <c r="DL36" s="195"/>
      <c r="DM36" s="199"/>
      <c r="DN36" s="195"/>
      <c r="DO36" s="200"/>
      <c r="DP36" s="195"/>
      <c r="DQ36" s="195"/>
    </row>
    <row r="37" spans="2:121" ht="9.75" customHeight="1">
      <c r="B37" s="12"/>
      <c r="C37" s="24"/>
      <c r="D37" s="24"/>
      <c r="E37" s="24"/>
      <c r="F37" s="24"/>
      <c r="G37" s="24"/>
      <c r="H37" s="24"/>
      <c r="I37" s="279" t="s">
        <v>185</v>
      </c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4"/>
      <c r="BD37" s="14"/>
      <c r="DK37" s="195"/>
      <c r="DL37" s="195"/>
      <c r="DM37" s="199"/>
      <c r="DN37" s="195"/>
      <c r="DO37" s="200"/>
      <c r="DP37" s="195"/>
      <c r="DQ37" s="195"/>
    </row>
    <row r="38" spans="2:121" ht="12" customHeight="1">
      <c r="B38" s="12"/>
      <c r="C38" s="24"/>
      <c r="D38" s="24"/>
      <c r="E38" s="24"/>
      <c r="F38" s="24"/>
      <c r="G38" s="24"/>
      <c r="H38" s="2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4"/>
      <c r="X38" s="24"/>
      <c r="Y38" s="24"/>
      <c r="Z38" s="24"/>
      <c r="AA38" s="2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14"/>
      <c r="DK38" s="195"/>
      <c r="DL38" s="195"/>
      <c r="DM38" s="195"/>
      <c r="DN38" s="195"/>
      <c r="DO38" s="195"/>
      <c r="DP38" s="195"/>
      <c r="DQ38" s="195"/>
    </row>
    <row r="39" spans="2:121" ht="12" customHeight="1">
      <c r="B39" s="12"/>
      <c r="C39" s="415" t="s">
        <v>97</v>
      </c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  <c r="AU39" s="415"/>
      <c r="AV39" s="415"/>
      <c r="AW39" s="415"/>
      <c r="AX39" s="415"/>
      <c r="AY39" s="415"/>
      <c r="AZ39" s="415"/>
      <c r="BA39" s="415"/>
      <c r="BB39" s="415"/>
      <c r="BC39" s="77"/>
      <c r="BD39" s="14"/>
      <c r="DK39" s="195"/>
      <c r="DL39" s="195"/>
      <c r="DM39" s="195"/>
      <c r="DN39" s="195"/>
      <c r="DO39" s="195"/>
      <c r="DP39" s="195"/>
      <c r="DQ39" s="195"/>
    </row>
    <row r="40" spans="2:127" s="3" customFormat="1" ht="10.5" customHeight="1">
      <c r="B40" s="29"/>
      <c r="C40" s="319" t="s">
        <v>99</v>
      </c>
      <c r="D40" s="319"/>
      <c r="E40" s="319"/>
      <c r="F40" s="319"/>
      <c r="G40" s="319"/>
      <c r="H40" s="319"/>
      <c r="I40" s="319"/>
      <c r="J40" s="319"/>
      <c r="K40" s="319"/>
      <c r="L40" s="319"/>
      <c r="M40" s="319" t="s">
        <v>132</v>
      </c>
      <c r="N40" s="319"/>
      <c r="O40" s="319"/>
      <c r="P40" s="319" t="s">
        <v>135</v>
      </c>
      <c r="Q40" s="319"/>
      <c r="R40" s="319"/>
      <c r="S40" s="319" t="s">
        <v>186</v>
      </c>
      <c r="T40" s="319"/>
      <c r="U40" s="319"/>
      <c r="V40" s="319"/>
      <c r="W40" s="319" t="s">
        <v>187</v>
      </c>
      <c r="X40" s="319"/>
      <c r="Y40" s="319"/>
      <c r="Z40" s="319"/>
      <c r="AA40" s="319"/>
      <c r="AB40" s="319" t="s">
        <v>10</v>
      </c>
      <c r="AC40" s="319"/>
      <c r="AD40" s="319"/>
      <c r="AE40" s="319"/>
      <c r="AF40" s="319"/>
      <c r="AG40" s="319" t="s">
        <v>188</v>
      </c>
      <c r="AH40" s="319"/>
      <c r="AI40" s="319"/>
      <c r="AJ40" s="319"/>
      <c r="AK40" s="319"/>
      <c r="AL40" s="319" t="s">
        <v>189</v>
      </c>
      <c r="AM40" s="319"/>
      <c r="AN40" s="319"/>
      <c r="AO40" s="319"/>
      <c r="AP40" s="319"/>
      <c r="AQ40" s="319" t="s">
        <v>100</v>
      </c>
      <c r="AR40" s="319"/>
      <c r="AS40" s="319"/>
      <c r="AT40" s="319"/>
      <c r="AU40" s="319" t="s">
        <v>101</v>
      </c>
      <c r="AV40" s="319"/>
      <c r="AW40" s="319"/>
      <c r="AX40" s="319"/>
      <c r="AY40" s="319" t="s">
        <v>102</v>
      </c>
      <c r="AZ40" s="319"/>
      <c r="BA40" s="319"/>
      <c r="BB40" s="319"/>
      <c r="BC40" s="31"/>
      <c r="BD40" s="14"/>
      <c r="BK40" s="181"/>
      <c r="BL40" s="120"/>
      <c r="BM40" s="120"/>
      <c r="BN40" s="120"/>
      <c r="BO40" s="120"/>
      <c r="BP40" s="181"/>
      <c r="DI40" s="181"/>
      <c r="DJ40" s="181"/>
      <c r="DK40" s="195"/>
      <c r="DL40" s="195"/>
      <c r="DM40" s="195"/>
      <c r="DN40" s="195"/>
      <c r="DO40" s="195"/>
      <c r="DP40" s="195"/>
      <c r="DQ40" s="195"/>
      <c r="DR40" s="181"/>
      <c r="DS40" s="181"/>
      <c r="DT40" s="181"/>
      <c r="DU40" s="181"/>
      <c r="DV40" s="181"/>
      <c r="DW40" s="181"/>
    </row>
    <row r="41" spans="2:127" s="3" customFormat="1" ht="10.5" customHeight="1">
      <c r="B41" s="2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"/>
      <c r="BD41" s="14"/>
      <c r="BK41" s="181"/>
      <c r="BL41" s="120"/>
      <c r="BM41" s="120"/>
      <c r="BN41" s="120"/>
      <c r="BO41" s="120"/>
      <c r="BP41" s="181"/>
      <c r="DI41" s="181"/>
      <c r="DJ41" s="181"/>
      <c r="DK41" s="195"/>
      <c r="DL41" s="195"/>
      <c r="DM41" s="195"/>
      <c r="DN41" s="195"/>
      <c r="DO41" s="195"/>
      <c r="DP41" s="195"/>
      <c r="DQ41" s="195"/>
      <c r="DR41" s="181"/>
      <c r="DS41" s="181"/>
      <c r="DT41" s="181"/>
      <c r="DU41" s="181"/>
      <c r="DV41" s="181"/>
      <c r="DW41" s="181"/>
    </row>
    <row r="42" spans="2:127" s="3" customFormat="1" ht="10.5" customHeight="1">
      <c r="B42" s="2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"/>
      <c r="BD42" s="14"/>
      <c r="BK42" s="181"/>
      <c r="BL42" s="120"/>
      <c r="BM42" s="120"/>
      <c r="BN42" s="120"/>
      <c r="BO42" s="120"/>
      <c r="BP42" s="181"/>
      <c r="DI42" s="181"/>
      <c r="DJ42" s="181"/>
      <c r="DK42" s="195"/>
      <c r="DL42" s="195"/>
      <c r="DM42" s="195"/>
      <c r="DN42" s="195"/>
      <c r="DO42" s="195"/>
      <c r="DP42" s="195"/>
      <c r="DQ42" s="195"/>
      <c r="DR42" s="181"/>
      <c r="DS42" s="181"/>
      <c r="DT42" s="181"/>
      <c r="DU42" s="181"/>
      <c r="DV42" s="181"/>
      <c r="DW42" s="181"/>
    </row>
    <row r="43" spans="2:127" s="3" customFormat="1" ht="9.75" customHeight="1">
      <c r="B43" s="29"/>
      <c r="C43" s="329">
        <v>1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>
        <v>2</v>
      </c>
      <c r="N43" s="329"/>
      <c r="O43" s="329"/>
      <c r="P43" s="343">
        <v>3</v>
      </c>
      <c r="Q43" s="343"/>
      <c r="R43" s="343"/>
      <c r="S43" s="329">
        <v>4</v>
      </c>
      <c r="T43" s="329"/>
      <c r="U43" s="329"/>
      <c r="V43" s="329"/>
      <c r="W43" s="329">
        <v>5</v>
      </c>
      <c r="X43" s="329"/>
      <c r="Y43" s="329"/>
      <c r="Z43" s="329"/>
      <c r="AA43" s="329"/>
      <c r="AB43" s="329">
        <v>6</v>
      </c>
      <c r="AC43" s="329"/>
      <c r="AD43" s="329"/>
      <c r="AE43" s="329"/>
      <c r="AF43" s="329"/>
      <c r="AG43" s="329">
        <v>7</v>
      </c>
      <c r="AH43" s="329"/>
      <c r="AI43" s="329"/>
      <c r="AJ43" s="329"/>
      <c r="AK43" s="329"/>
      <c r="AL43" s="329">
        <v>8</v>
      </c>
      <c r="AM43" s="329"/>
      <c r="AN43" s="329"/>
      <c r="AO43" s="329"/>
      <c r="AP43" s="329"/>
      <c r="AQ43" s="329">
        <v>9</v>
      </c>
      <c r="AR43" s="329"/>
      <c r="AS43" s="329"/>
      <c r="AT43" s="329"/>
      <c r="AU43" s="329">
        <v>10</v>
      </c>
      <c r="AV43" s="329"/>
      <c r="AW43" s="329"/>
      <c r="AX43" s="329"/>
      <c r="AY43" s="329">
        <v>11</v>
      </c>
      <c r="AZ43" s="329"/>
      <c r="BA43" s="329"/>
      <c r="BB43" s="329"/>
      <c r="BC43" s="31"/>
      <c r="BD43" s="14"/>
      <c r="BK43" s="181"/>
      <c r="BL43" s="120"/>
      <c r="BM43" s="120"/>
      <c r="BN43" s="120"/>
      <c r="BO43" s="120"/>
      <c r="BP43" s="181"/>
      <c r="DI43" s="181"/>
      <c r="DJ43" s="181"/>
      <c r="DK43" s="195"/>
      <c r="DL43" s="195"/>
      <c r="DM43" s="195"/>
      <c r="DN43" s="195"/>
      <c r="DO43" s="195"/>
      <c r="DP43" s="195"/>
      <c r="DQ43" s="195"/>
      <c r="DR43" s="181"/>
      <c r="DS43" s="181"/>
      <c r="DT43" s="181"/>
      <c r="DU43" s="181"/>
      <c r="DV43" s="181"/>
      <c r="DW43" s="181"/>
    </row>
    <row r="44" spans="2:127" s="3" customFormat="1" ht="12" customHeight="1">
      <c r="B44" s="29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287"/>
      <c r="N44" s="287"/>
      <c r="O44" s="287"/>
      <c r="P44" s="416">
        <v>88</v>
      </c>
      <c r="Q44" s="416"/>
      <c r="R44" s="416"/>
      <c r="S44" s="336">
        <v>2488.56</v>
      </c>
      <c r="T44" s="336"/>
      <c r="U44" s="336"/>
      <c r="V44" s="336"/>
      <c r="W44" s="417">
        <f aca="true" t="shared" si="0" ref="W44:W49">P44*S44</f>
        <v>218993.28</v>
      </c>
      <c r="X44" s="417"/>
      <c r="Y44" s="417"/>
      <c r="Z44" s="417"/>
      <c r="AA44" s="417"/>
      <c r="AB44" s="338">
        <v>0.2</v>
      </c>
      <c r="AC44" s="338"/>
      <c r="AD44" s="338"/>
      <c r="AE44" s="338"/>
      <c r="AF44" s="338"/>
      <c r="AG44" s="417">
        <f aca="true" t="shared" si="1" ref="AG44:AG49">IF(AB44="Без НДС",0,ROUND(W44*AB44,2))</f>
        <v>43798.66</v>
      </c>
      <c r="AH44" s="417"/>
      <c r="AI44" s="417"/>
      <c r="AJ44" s="417"/>
      <c r="AK44" s="417"/>
      <c r="AL44" s="419">
        <f>W44+AG44</f>
        <v>262791.94</v>
      </c>
      <c r="AM44" s="419"/>
      <c r="AN44" s="419"/>
      <c r="AO44" s="419"/>
      <c r="AP44" s="419"/>
      <c r="AQ44" s="416">
        <v>24</v>
      </c>
      <c r="AR44" s="416"/>
      <c r="AS44" s="416"/>
      <c r="AT44" s="416"/>
      <c r="AU44" s="416">
        <v>188</v>
      </c>
      <c r="AV44" s="416"/>
      <c r="AW44" s="416"/>
      <c r="AX44" s="416"/>
      <c r="AY44" s="287"/>
      <c r="AZ44" s="287"/>
      <c r="BA44" s="287"/>
      <c r="BB44" s="287"/>
      <c r="BC44" s="31"/>
      <c r="BD44" s="14"/>
      <c r="BK44" s="181"/>
      <c r="BL44" s="120"/>
      <c r="BM44" s="120"/>
      <c r="BN44" s="120"/>
      <c r="BO44" s="120"/>
      <c r="BP44" s="181"/>
      <c r="DI44" s="181"/>
      <c r="DJ44" s="181"/>
      <c r="DK44" s="195"/>
      <c r="DL44" s="195"/>
      <c r="DM44" s="195"/>
      <c r="DN44" s="195"/>
      <c r="DO44" s="195"/>
      <c r="DP44" s="195"/>
      <c r="DQ44" s="195"/>
      <c r="DR44" s="181"/>
      <c r="DS44" s="181"/>
      <c r="DT44" s="181"/>
      <c r="DU44" s="181"/>
      <c r="DV44" s="181"/>
      <c r="DW44" s="181"/>
    </row>
    <row r="45" spans="2:127" s="3" customFormat="1" ht="12" customHeight="1">
      <c r="B45" s="29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86"/>
      <c r="N45" s="286"/>
      <c r="O45" s="286"/>
      <c r="P45" s="420">
        <v>144</v>
      </c>
      <c r="Q45" s="420"/>
      <c r="R45" s="420"/>
      <c r="S45" s="293">
        <v>484.22</v>
      </c>
      <c r="T45" s="293"/>
      <c r="U45" s="293"/>
      <c r="V45" s="293"/>
      <c r="W45" s="418">
        <f t="shared" si="0"/>
        <v>69727.68000000001</v>
      </c>
      <c r="X45" s="418"/>
      <c r="Y45" s="418"/>
      <c r="Z45" s="418"/>
      <c r="AA45" s="418"/>
      <c r="AB45" s="337">
        <v>0.2</v>
      </c>
      <c r="AC45" s="337"/>
      <c r="AD45" s="337"/>
      <c r="AE45" s="337"/>
      <c r="AF45" s="337"/>
      <c r="AG45" s="418">
        <f t="shared" si="1"/>
        <v>13945.54</v>
      </c>
      <c r="AH45" s="418"/>
      <c r="AI45" s="418"/>
      <c r="AJ45" s="418"/>
      <c r="AK45" s="418"/>
      <c r="AL45" s="418">
        <f>ROUND(W45+AG45,0)</f>
        <v>83673</v>
      </c>
      <c r="AM45" s="418"/>
      <c r="AN45" s="418"/>
      <c r="AO45" s="418"/>
      <c r="AP45" s="418"/>
      <c r="AQ45" s="420">
        <v>30</v>
      </c>
      <c r="AR45" s="420"/>
      <c r="AS45" s="420"/>
      <c r="AT45" s="420"/>
      <c r="AU45" s="420">
        <v>200</v>
      </c>
      <c r="AV45" s="420"/>
      <c r="AW45" s="420"/>
      <c r="AX45" s="420"/>
      <c r="AY45" s="286"/>
      <c r="AZ45" s="286"/>
      <c r="BA45" s="286"/>
      <c r="BB45" s="286"/>
      <c r="BC45" s="31"/>
      <c r="BD45" s="14"/>
      <c r="BK45" s="181"/>
      <c r="BL45" s="120"/>
      <c r="BM45" s="120"/>
      <c r="BN45" s="120"/>
      <c r="BO45" s="120"/>
      <c r="BP45" s="181"/>
      <c r="DI45" s="181"/>
      <c r="DJ45" s="181"/>
      <c r="DK45" s="195"/>
      <c r="DL45" s="195"/>
      <c r="DM45" s="195"/>
      <c r="DN45" s="195"/>
      <c r="DO45" s="195"/>
      <c r="DP45" s="195"/>
      <c r="DQ45" s="195"/>
      <c r="DR45" s="181"/>
      <c r="DS45" s="181"/>
      <c r="DT45" s="181"/>
      <c r="DU45" s="181"/>
      <c r="DV45" s="181"/>
      <c r="DW45" s="181"/>
    </row>
    <row r="46" spans="2:127" s="3" customFormat="1" ht="12" customHeight="1">
      <c r="B46" s="29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86"/>
      <c r="N46" s="286"/>
      <c r="O46" s="286"/>
      <c r="P46" s="420">
        <v>15</v>
      </c>
      <c r="Q46" s="420"/>
      <c r="R46" s="420"/>
      <c r="S46" s="293">
        <v>88.2</v>
      </c>
      <c r="T46" s="293"/>
      <c r="U46" s="293"/>
      <c r="V46" s="293"/>
      <c r="W46" s="418">
        <f t="shared" si="0"/>
        <v>1323</v>
      </c>
      <c r="X46" s="418"/>
      <c r="Y46" s="418"/>
      <c r="Z46" s="418"/>
      <c r="AA46" s="418"/>
      <c r="AB46" s="337">
        <v>0.2</v>
      </c>
      <c r="AC46" s="337"/>
      <c r="AD46" s="337"/>
      <c r="AE46" s="337"/>
      <c r="AF46" s="337"/>
      <c r="AG46" s="418">
        <f t="shared" si="1"/>
        <v>264.6</v>
      </c>
      <c r="AH46" s="418"/>
      <c r="AI46" s="418"/>
      <c r="AJ46" s="418"/>
      <c r="AK46" s="418"/>
      <c r="AL46" s="418">
        <f>ROUND(W46+AG46,0)</f>
        <v>1588</v>
      </c>
      <c r="AM46" s="418"/>
      <c r="AN46" s="418"/>
      <c r="AO46" s="418"/>
      <c r="AP46" s="418"/>
      <c r="AQ46" s="420">
        <v>1</v>
      </c>
      <c r="AR46" s="420"/>
      <c r="AS46" s="420"/>
      <c r="AT46" s="420"/>
      <c r="AU46" s="420">
        <v>8</v>
      </c>
      <c r="AV46" s="420"/>
      <c r="AW46" s="420"/>
      <c r="AX46" s="420"/>
      <c r="AY46" s="286"/>
      <c r="AZ46" s="286"/>
      <c r="BA46" s="286"/>
      <c r="BB46" s="286"/>
      <c r="BC46" s="31"/>
      <c r="BD46" s="14"/>
      <c r="BK46" s="181"/>
      <c r="BL46" s="120"/>
      <c r="BM46" s="120"/>
      <c r="BN46" s="120"/>
      <c r="BO46" s="120"/>
      <c r="BP46" s="181"/>
      <c r="DI46" s="181"/>
      <c r="DJ46" s="181"/>
      <c r="DK46" s="195"/>
      <c r="DL46" s="195"/>
      <c r="DM46" s="195"/>
      <c r="DN46" s="195"/>
      <c r="DO46" s="195"/>
      <c r="DP46" s="195"/>
      <c r="DQ46" s="195"/>
      <c r="DR46" s="181"/>
      <c r="DS46" s="181"/>
      <c r="DT46" s="181"/>
      <c r="DU46" s="181"/>
      <c r="DV46" s="181"/>
      <c r="DW46" s="181"/>
    </row>
    <row r="47" spans="2:127" s="3" customFormat="1" ht="12" customHeight="1">
      <c r="B47" s="29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86"/>
      <c r="N47" s="286"/>
      <c r="O47" s="286"/>
      <c r="P47" s="420"/>
      <c r="Q47" s="420"/>
      <c r="R47" s="420"/>
      <c r="S47" s="293"/>
      <c r="T47" s="293"/>
      <c r="U47" s="293"/>
      <c r="V47" s="293"/>
      <c r="W47" s="418">
        <f t="shared" si="0"/>
        <v>0</v>
      </c>
      <c r="X47" s="418"/>
      <c r="Y47" s="418"/>
      <c r="Z47" s="418"/>
      <c r="AA47" s="418"/>
      <c r="AB47" s="337"/>
      <c r="AC47" s="337"/>
      <c r="AD47" s="337"/>
      <c r="AE47" s="337"/>
      <c r="AF47" s="337"/>
      <c r="AG47" s="418">
        <f t="shared" si="1"/>
        <v>0</v>
      </c>
      <c r="AH47" s="418"/>
      <c r="AI47" s="418"/>
      <c r="AJ47" s="418"/>
      <c r="AK47" s="418"/>
      <c r="AL47" s="418">
        <f>ROUND(W47+AG47,0)</f>
        <v>0</v>
      </c>
      <c r="AM47" s="418"/>
      <c r="AN47" s="418"/>
      <c r="AO47" s="418"/>
      <c r="AP47" s="418"/>
      <c r="AQ47" s="420"/>
      <c r="AR47" s="420"/>
      <c r="AS47" s="420"/>
      <c r="AT47" s="420"/>
      <c r="AU47" s="420"/>
      <c r="AV47" s="420"/>
      <c r="AW47" s="420"/>
      <c r="AX47" s="420"/>
      <c r="AY47" s="286"/>
      <c r="AZ47" s="286"/>
      <c r="BA47" s="286"/>
      <c r="BB47" s="286"/>
      <c r="BC47" s="31"/>
      <c r="BD47" s="14"/>
      <c r="BK47" s="181"/>
      <c r="BL47" s="120"/>
      <c r="BM47" s="120"/>
      <c r="BN47" s="120"/>
      <c r="BO47" s="120"/>
      <c r="BP47" s="181"/>
      <c r="DI47" s="181"/>
      <c r="DJ47" s="181"/>
      <c r="DK47" s="206"/>
      <c r="DL47" s="195"/>
      <c r="DM47" s="195"/>
      <c r="DN47" s="195"/>
      <c r="DO47" s="195"/>
      <c r="DP47" s="195"/>
      <c r="DQ47" s="195"/>
      <c r="DR47" s="181"/>
      <c r="DS47" s="181"/>
      <c r="DT47" s="181"/>
      <c r="DU47" s="181"/>
      <c r="DV47" s="181"/>
      <c r="DW47" s="181"/>
    </row>
    <row r="48" spans="2:127" s="3" customFormat="1" ht="12" customHeight="1">
      <c r="B48" s="29"/>
      <c r="C48" s="339"/>
      <c r="D48" s="340"/>
      <c r="E48" s="340"/>
      <c r="F48" s="340"/>
      <c r="G48" s="340"/>
      <c r="H48" s="340"/>
      <c r="I48" s="340"/>
      <c r="J48" s="340"/>
      <c r="K48" s="340"/>
      <c r="L48" s="341"/>
      <c r="M48" s="289"/>
      <c r="N48" s="290"/>
      <c r="O48" s="291"/>
      <c r="P48" s="421"/>
      <c r="Q48" s="422"/>
      <c r="R48" s="423"/>
      <c r="S48" s="347"/>
      <c r="T48" s="348"/>
      <c r="U48" s="348"/>
      <c r="V48" s="349"/>
      <c r="W48" s="418">
        <f t="shared" si="0"/>
        <v>0</v>
      </c>
      <c r="X48" s="418"/>
      <c r="Y48" s="418"/>
      <c r="Z48" s="418"/>
      <c r="AA48" s="418"/>
      <c r="AB48" s="424"/>
      <c r="AC48" s="425"/>
      <c r="AD48" s="425"/>
      <c r="AE48" s="425"/>
      <c r="AF48" s="426"/>
      <c r="AG48" s="418">
        <f t="shared" si="1"/>
        <v>0</v>
      </c>
      <c r="AH48" s="418"/>
      <c r="AI48" s="418"/>
      <c r="AJ48" s="418"/>
      <c r="AK48" s="418"/>
      <c r="AL48" s="418">
        <f>ROUND(W48+AG48,0)</f>
        <v>0</v>
      </c>
      <c r="AM48" s="418"/>
      <c r="AN48" s="418"/>
      <c r="AO48" s="418"/>
      <c r="AP48" s="418"/>
      <c r="AQ48" s="421"/>
      <c r="AR48" s="422"/>
      <c r="AS48" s="422"/>
      <c r="AT48" s="423"/>
      <c r="AU48" s="421"/>
      <c r="AV48" s="422"/>
      <c r="AW48" s="422"/>
      <c r="AX48" s="423"/>
      <c r="AY48" s="289"/>
      <c r="AZ48" s="290"/>
      <c r="BA48" s="290"/>
      <c r="BB48" s="291"/>
      <c r="BC48" s="31"/>
      <c r="BD48" s="14"/>
      <c r="BK48" s="181"/>
      <c r="BL48" s="120"/>
      <c r="BM48" s="120"/>
      <c r="BN48" s="120"/>
      <c r="BO48" s="120"/>
      <c r="BP48" s="181"/>
      <c r="DI48" s="181"/>
      <c r="DJ48" s="181"/>
      <c r="DK48" s="195"/>
      <c r="DL48" s="195"/>
      <c r="DM48" s="195"/>
      <c r="DN48" s="195"/>
      <c r="DO48" s="195"/>
      <c r="DP48" s="195"/>
      <c r="DQ48" s="195"/>
      <c r="DR48" s="181"/>
      <c r="DS48" s="181"/>
      <c r="DT48" s="181"/>
      <c r="DU48" s="181"/>
      <c r="DV48" s="181"/>
      <c r="DW48" s="181"/>
    </row>
    <row r="49" spans="2:127" s="3" customFormat="1" ht="12" customHeight="1">
      <c r="B49" s="29"/>
      <c r="C49" s="351"/>
      <c r="D49" s="352"/>
      <c r="E49" s="352"/>
      <c r="F49" s="352"/>
      <c r="G49" s="352"/>
      <c r="H49" s="352"/>
      <c r="I49" s="352"/>
      <c r="J49" s="352"/>
      <c r="K49" s="352"/>
      <c r="L49" s="353"/>
      <c r="M49" s="355"/>
      <c r="N49" s="356"/>
      <c r="O49" s="357"/>
      <c r="P49" s="428"/>
      <c r="Q49" s="429"/>
      <c r="R49" s="430"/>
      <c r="S49" s="361"/>
      <c r="T49" s="362"/>
      <c r="U49" s="362"/>
      <c r="V49" s="363"/>
      <c r="W49" s="427">
        <f t="shared" si="0"/>
        <v>0</v>
      </c>
      <c r="X49" s="427"/>
      <c r="Y49" s="427"/>
      <c r="Z49" s="427"/>
      <c r="AA49" s="427"/>
      <c r="AB49" s="431"/>
      <c r="AC49" s="432"/>
      <c r="AD49" s="432"/>
      <c r="AE49" s="432"/>
      <c r="AF49" s="433"/>
      <c r="AG49" s="427">
        <f t="shared" si="1"/>
        <v>0</v>
      </c>
      <c r="AH49" s="427"/>
      <c r="AI49" s="427"/>
      <c r="AJ49" s="427"/>
      <c r="AK49" s="427"/>
      <c r="AL49" s="427">
        <f>ROUND(W49+AG49,0)</f>
        <v>0</v>
      </c>
      <c r="AM49" s="427"/>
      <c r="AN49" s="427"/>
      <c r="AO49" s="427"/>
      <c r="AP49" s="427"/>
      <c r="AQ49" s="428"/>
      <c r="AR49" s="429"/>
      <c r="AS49" s="429"/>
      <c r="AT49" s="430"/>
      <c r="AU49" s="428"/>
      <c r="AV49" s="429"/>
      <c r="AW49" s="429"/>
      <c r="AX49" s="430"/>
      <c r="AY49" s="355"/>
      <c r="AZ49" s="356"/>
      <c r="BA49" s="356"/>
      <c r="BB49" s="357"/>
      <c r="BC49" s="31"/>
      <c r="BD49" s="14"/>
      <c r="BK49" s="181"/>
      <c r="BL49" s="120"/>
      <c r="BM49" s="120"/>
      <c r="BN49" s="120"/>
      <c r="BO49" s="120"/>
      <c r="BP49" s="181"/>
      <c r="DI49" s="181"/>
      <c r="DJ49" s="181"/>
      <c r="DK49" s="195"/>
      <c r="DL49" s="195"/>
      <c r="DM49" s="195"/>
      <c r="DN49" s="195"/>
      <c r="DO49" s="195"/>
      <c r="DP49" s="195"/>
      <c r="DQ49" s="195"/>
      <c r="DR49" s="181"/>
      <c r="DS49" s="181"/>
      <c r="DT49" s="181"/>
      <c r="DU49" s="181"/>
      <c r="DV49" s="181"/>
      <c r="DW49" s="181"/>
    </row>
    <row r="50" spans="2:127" s="3" customFormat="1" ht="12" customHeight="1">
      <c r="B50" s="29"/>
      <c r="C50" s="372" t="s">
        <v>0</v>
      </c>
      <c r="D50" s="373"/>
      <c r="E50" s="373"/>
      <c r="F50" s="373"/>
      <c r="G50" s="373"/>
      <c r="H50" s="373"/>
      <c r="I50" s="373"/>
      <c r="J50" s="373"/>
      <c r="K50" s="373"/>
      <c r="L50" s="374"/>
      <c r="M50" s="359" t="s">
        <v>130</v>
      </c>
      <c r="N50" s="359"/>
      <c r="O50" s="359"/>
      <c r="P50" s="359">
        <f>SUM(P44:R49)</f>
        <v>247</v>
      </c>
      <c r="Q50" s="359"/>
      <c r="R50" s="359"/>
      <c r="S50" s="364" t="s">
        <v>130</v>
      </c>
      <c r="T50" s="364"/>
      <c r="U50" s="364"/>
      <c r="V50" s="364"/>
      <c r="W50" s="345">
        <f>ROUND(SUM(W44:AA49),2)</f>
        <v>290043.96</v>
      </c>
      <c r="X50" s="345"/>
      <c r="Y50" s="345"/>
      <c r="Z50" s="345"/>
      <c r="AA50" s="345"/>
      <c r="AB50" s="359" t="s">
        <v>130</v>
      </c>
      <c r="AC50" s="359"/>
      <c r="AD50" s="359"/>
      <c r="AE50" s="359"/>
      <c r="AF50" s="359"/>
      <c r="AG50" s="345">
        <f>ROUND(SUM(AG44:AK49),2)</f>
        <v>58008.8</v>
      </c>
      <c r="AH50" s="345"/>
      <c r="AI50" s="345"/>
      <c r="AJ50" s="345"/>
      <c r="AK50" s="345"/>
      <c r="AL50" s="345">
        <f>ROUND(SUM(AL44:AP49),3)</f>
        <v>348052.94</v>
      </c>
      <c r="AM50" s="345"/>
      <c r="AN50" s="345"/>
      <c r="AO50" s="345"/>
      <c r="AP50" s="345"/>
      <c r="AQ50" s="359">
        <f>SUM(AQ44:AT49)</f>
        <v>55</v>
      </c>
      <c r="AR50" s="359"/>
      <c r="AS50" s="359"/>
      <c r="AT50" s="359"/>
      <c r="AU50" s="359">
        <f>SUM(AU44:AX49)</f>
        <v>396</v>
      </c>
      <c r="AV50" s="359"/>
      <c r="AW50" s="359"/>
      <c r="AX50" s="359"/>
      <c r="AY50" s="359" t="s">
        <v>190</v>
      </c>
      <c r="AZ50" s="359"/>
      <c r="BA50" s="359"/>
      <c r="BB50" s="359"/>
      <c r="BC50" s="84"/>
      <c r="BD50" s="14"/>
      <c r="BK50" s="181"/>
      <c r="BL50" s="120"/>
      <c r="BM50" s="120"/>
      <c r="BN50" s="120"/>
      <c r="BO50" s="120"/>
      <c r="BP50" s="181"/>
      <c r="DI50" s="181"/>
      <c r="DJ50" s="181"/>
      <c r="DK50" s="187"/>
      <c r="DL50" s="188"/>
      <c r="DM50" s="188"/>
      <c r="DN50" s="188"/>
      <c r="DO50" s="189"/>
      <c r="DP50" s="187"/>
      <c r="DQ50" s="190"/>
      <c r="DR50" s="181"/>
      <c r="DS50" s="181"/>
      <c r="DT50" s="181"/>
      <c r="DU50" s="181"/>
      <c r="DV50" s="181"/>
      <c r="DW50" s="181"/>
    </row>
    <row r="51" spans="2:127" s="3" customFormat="1" ht="12" customHeight="1">
      <c r="B51" s="2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2"/>
      <c r="R51" s="32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14"/>
      <c r="BK51" s="181"/>
      <c r="BL51" s="120"/>
      <c r="BM51" s="120"/>
      <c r="BN51" s="120"/>
      <c r="BO51" s="120"/>
      <c r="BP51" s="181"/>
      <c r="DI51" s="181"/>
      <c r="DJ51" s="181"/>
      <c r="DK51" s="191"/>
      <c r="DL51" s="192"/>
      <c r="DM51" s="191"/>
      <c r="DN51" s="191"/>
      <c r="DO51" s="193"/>
      <c r="DP51" s="191"/>
      <c r="DQ51" s="191"/>
      <c r="DR51" s="181"/>
      <c r="DS51" s="181"/>
      <c r="DT51" s="181"/>
      <c r="DU51" s="181"/>
      <c r="DV51" s="181"/>
      <c r="DW51" s="181"/>
    </row>
    <row r="52" spans="2:127" s="3" customFormat="1" ht="12" customHeight="1">
      <c r="B52" s="29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2"/>
      <c r="R52" s="32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137"/>
      <c r="AL52" s="137"/>
      <c r="AM52" s="137"/>
      <c r="AN52" s="137"/>
      <c r="AO52" s="137"/>
      <c r="AP52" s="137"/>
      <c r="AQ52" s="137"/>
      <c r="AR52" s="137"/>
      <c r="AS52" s="137"/>
      <c r="AT52" s="45"/>
      <c r="AU52" s="45"/>
      <c r="AV52" s="45"/>
      <c r="AW52" s="45"/>
      <c r="AX52" s="45"/>
      <c r="AY52" s="45"/>
      <c r="AZ52" s="45"/>
      <c r="BA52" s="45"/>
      <c r="BB52" s="45"/>
      <c r="BC52" s="102"/>
      <c r="BD52" s="14"/>
      <c r="BK52" s="181"/>
      <c r="BL52" s="120"/>
      <c r="BM52" s="120"/>
      <c r="BN52" s="120"/>
      <c r="BO52" s="120"/>
      <c r="BP52" s="181"/>
      <c r="DI52" s="181"/>
      <c r="DJ52" s="181"/>
      <c r="DK52" s="191"/>
      <c r="DL52" s="192"/>
      <c r="DM52" s="191"/>
      <c r="DN52" s="191"/>
      <c r="DO52" s="191"/>
      <c r="DP52" s="191"/>
      <c r="DQ52" s="191"/>
      <c r="DR52" s="181"/>
      <c r="DS52" s="181"/>
      <c r="DT52" s="181"/>
      <c r="DU52" s="181"/>
      <c r="DV52" s="181"/>
      <c r="DW52" s="181"/>
    </row>
    <row r="53" spans="2:128" ht="12" customHeight="1">
      <c r="B53" s="12"/>
      <c r="C53" s="360" t="s">
        <v>103</v>
      </c>
      <c r="D53" s="360"/>
      <c r="E53" s="360"/>
      <c r="F53" s="360"/>
      <c r="G53" s="360"/>
      <c r="H53" s="360"/>
      <c r="I53" s="445" t="str">
        <f>Лист2!B2</f>
        <v>Пятьдесят восемь тысяч восемь </v>
      </c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138" t="s">
        <v>172</v>
      </c>
      <c r="AS53" s="138"/>
      <c r="AT53" s="398">
        <f>IF(AS142="","00",IF(AS142&lt;10,AT142&amp;AS142,AS142))</f>
        <v>80</v>
      </c>
      <c r="AU53" s="398"/>
      <c r="AV53" s="138" t="s">
        <v>131</v>
      </c>
      <c r="AW53" s="138"/>
      <c r="AX53" s="138"/>
      <c r="AY53" s="138"/>
      <c r="AZ53" s="138"/>
      <c r="BA53" s="138"/>
      <c r="BB53" s="138"/>
      <c r="BC53" s="85"/>
      <c r="BD53" s="14"/>
      <c r="DK53" s="191"/>
      <c r="DL53" s="192"/>
      <c r="DM53" s="191"/>
      <c r="DN53" s="191"/>
      <c r="DO53" s="191"/>
      <c r="DP53" s="191"/>
      <c r="DQ53" s="191"/>
      <c r="DR53" s="191"/>
      <c r="DS53" s="192"/>
      <c r="DT53" s="207"/>
      <c r="DU53" s="207"/>
      <c r="DV53" s="209"/>
      <c r="DW53" s="207"/>
      <c r="DX53" s="5"/>
    </row>
    <row r="54" spans="2:128" ht="12" customHeight="1">
      <c r="B54" s="12"/>
      <c r="C54" s="13"/>
      <c r="D54" s="13"/>
      <c r="E54" s="13"/>
      <c r="F54" s="13"/>
      <c r="G54" s="13"/>
      <c r="H54" s="131"/>
      <c r="I54" s="260" t="s">
        <v>1</v>
      </c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131"/>
      <c r="AS54" s="285" t="s">
        <v>192</v>
      </c>
      <c r="AT54" s="285"/>
      <c r="AU54" s="285"/>
      <c r="AV54" s="285"/>
      <c r="AW54" s="131"/>
      <c r="AX54" s="131"/>
      <c r="AY54" s="131"/>
      <c r="AZ54" s="131"/>
      <c r="BA54" s="131"/>
      <c r="BB54" s="131"/>
      <c r="BC54" s="79"/>
      <c r="BD54" s="14"/>
      <c r="DK54" s="191"/>
      <c r="DL54" s="192"/>
      <c r="DM54" s="191"/>
      <c r="DN54" s="191"/>
      <c r="DO54" s="191"/>
      <c r="DP54" s="192"/>
      <c r="DQ54" s="192"/>
      <c r="DR54" s="191"/>
      <c r="DS54" s="192"/>
      <c r="DT54" s="207"/>
      <c r="DU54" s="207"/>
      <c r="DV54" s="207"/>
      <c r="DW54" s="207"/>
      <c r="DX54" s="5"/>
    </row>
    <row r="55" spans="2:128" ht="12" customHeight="1">
      <c r="B55" s="12"/>
      <c r="C55" s="444" t="s">
        <v>104</v>
      </c>
      <c r="D55" s="444"/>
      <c r="E55" s="444"/>
      <c r="F55" s="444"/>
      <c r="G55" s="444"/>
      <c r="H55" s="444"/>
      <c r="I55" s="444"/>
      <c r="J55" s="444"/>
      <c r="K55" s="399" t="str">
        <f>Лист2!L2</f>
        <v>Триста сорок восемь тысяч пятьдесят два  </v>
      </c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138" t="s">
        <v>172</v>
      </c>
      <c r="AS55" s="138"/>
      <c r="AT55" s="398">
        <f>IF(AS189="","00",IF(AS189&lt;10,AT189&amp;AS189,AS189))</f>
        <v>94</v>
      </c>
      <c r="AU55" s="398"/>
      <c r="AV55" s="138" t="s">
        <v>131</v>
      </c>
      <c r="AW55" s="133"/>
      <c r="AX55" s="133"/>
      <c r="AY55" s="133"/>
      <c r="AZ55" s="133"/>
      <c r="BA55" s="133"/>
      <c r="BB55" s="133"/>
      <c r="BC55" s="86"/>
      <c r="BD55" s="14"/>
      <c r="DK55" s="187"/>
      <c r="DL55" s="187"/>
      <c r="DM55" s="187"/>
      <c r="DN55" s="194"/>
      <c r="DO55" s="187"/>
      <c r="DP55" s="187"/>
      <c r="DQ55" s="187"/>
      <c r="DR55" s="191"/>
      <c r="DS55" s="192"/>
      <c r="DT55" s="207"/>
      <c r="DU55" s="207"/>
      <c r="DV55" s="207"/>
      <c r="DW55" s="210"/>
      <c r="DX55" s="6"/>
    </row>
    <row r="56" spans="2:128" ht="12" customHeight="1">
      <c r="B56" s="12"/>
      <c r="C56" s="33"/>
      <c r="D56" s="13"/>
      <c r="E56" s="13"/>
      <c r="F56" s="13"/>
      <c r="G56" s="13"/>
      <c r="H56" s="13"/>
      <c r="I56" s="13"/>
      <c r="J56" s="131"/>
      <c r="K56" s="260" t="s">
        <v>1</v>
      </c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131"/>
      <c r="AS56" s="285" t="s">
        <v>192</v>
      </c>
      <c r="AT56" s="285"/>
      <c r="AU56" s="285"/>
      <c r="AV56" s="285"/>
      <c r="AW56" s="131"/>
      <c r="AX56" s="131"/>
      <c r="AY56" s="131"/>
      <c r="AZ56" s="131"/>
      <c r="BA56" s="131"/>
      <c r="BB56" s="131"/>
      <c r="BC56" s="79"/>
      <c r="BD56" s="14"/>
      <c r="DK56" s="195"/>
      <c r="DL56" s="187"/>
      <c r="DM56" s="187"/>
      <c r="DN56" s="194"/>
      <c r="DO56" s="187"/>
      <c r="DP56" s="196"/>
      <c r="DQ56" s="195"/>
      <c r="DR56" s="187"/>
      <c r="DS56" s="187"/>
      <c r="DT56" s="178"/>
      <c r="DU56" s="211"/>
      <c r="DV56" s="178"/>
      <c r="DW56" s="178"/>
      <c r="DX56" s="8"/>
    </row>
    <row r="57" spans="2:121" ht="12" customHeight="1">
      <c r="B57" s="12"/>
      <c r="C57" s="318" t="s">
        <v>105</v>
      </c>
      <c r="D57" s="318"/>
      <c r="E57" s="318"/>
      <c r="F57" s="318"/>
      <c r="G57" s="318"/>
      <c r="H57" s="318"/>
      <c r="I57" s="436" t="str">
        <f>DL293</f>
        <v>Триста девяносто шесть </v>
      </c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255"/>
      <c r="Z57" s="255"/>
      <c r="AA57" s="325" t="s">
        <v>106</v>
      </c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434" t="str">
        <f>DL335</f>
        <v>Пятьдесят пять шт.</v>
      </c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87"/>
      <c r="BD57" s="14"/>
      <c r="DK57" s="195"/>
      <c r="DL57" s="197"/>
      <c r="DM57" s="187"/>
      <c r="DN57" s="198"/>
      <c r="DO57" s="187"/>
      <c r="DP57" s="196"/>
      <c r="DQ57" s="195"/>
    </row>
    <row r="58" spans="2:121" ht="12" customHeight="1">
      <c r="B58" s="12"/>
      <c r="C58" s="34"/>
      <c r="D58" s="34"/>
      <c r="E58" s="34"/>
      <c r="F58" s="13"/>
      <c r="G58" s="13"/>
      <c r="H58" s="13"/>
      <c r="I58" s="260" t="s">
        <v>1</v>
      </c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35"/>
      <c r="AB58" s="35"/>
      <c r="AC58" s="35"/>
      <c r="AD58" s="35"/>
      <c r="AE58" s="13"/>
      <c r="AF58" s="13"/>
      <c r="AG58" s="13"/>
      <c r="AH58" s="24"/>
      <c r="AI58" s="24"/>
      <c r="AJ58" s="24"/>
      <c r="AK58" s="72"/>
      <c r="AL58" s="371" t="s">
        <v>1</v>
      </c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88"/>
      <c r="BD58" s="14"/>
      <c r="DK58" s="195"/>
      <c r="DL58" s="195"/>
      <c r="DM58" s="195"/>
      <c r="DN58" s="199"/>
      <c r="DO58" s="200"/>
      <c r="DP58" s="196"/>
      <c r="DQ58" s="195"/>
    </row>
    <row r="59" spans="2:121" ht="12" customHeight="1">
      <c r="B59" s="12"/>
      <c r="C59" s="308" t="s">
        <v>107</v>
      </c>
      <c r="D59" s="308"/>
      <c r="E59" s="308"/>
      <c r="F59" s="308"/>
      <c r="G59" s="308"/>
      <c r="H59" s="308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96"/>
      <c r="AB59" s="316" t="s">
        <v>111</v>
      </c>
      <c r="AC59" s="315"/>
      <c r="AD59" s="315"/>
      <c r="AE59" s="315"/>
      <c r="AF59" s="315"/>
      <c r="AG59" s="315"/>
      <c r="AH59" s="315"/>
      <c r="AI59" s="315"/>
      <c r="AJ59" s="315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87"/>
      <c r="BD59" s="14"/>
      <c r="DK59" s="195"/>
      <c r="DL59" s="195"/>
      <c r="DM59" s="195"/>
      <c r="DN59" s="199"/>
      <c r="DO59" s="200"/>
      <c r="DP59" s="195"/>
      <c r="DQ59" s="195"/>
    </row>
    <row r="60" spans="2:121" ht="12" customHeight="1">
      <c r="B60" s="12"/>
      <c r="C60" s="38"/>
      <c r="D60" s="38"/>
      <c r="E60" s="38"/>
      <c r="F60" s="39"/>
      <c r="G60" s="39"/>
      <c r="H60" s="72"/>
      <c r="I60" s="310" t="s">
        <v>109</v>
      </c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435"/>
      <c r="AB60" s="40"/>
      <c r="AC60" s="13"/>
      <c r="AD60" s="13"/>
      <c r="AE60" s="13"/>
      <c r="AF60" s="13"/>
      <c r="AG60" s="13"/>
      <c r="AH60" s="13"/>
      <c r="AI60" s="13"/>
      <c r="AJ60" s="72"/>
      <c r="AK60" s="310" t="s">
        <v>109</v>
      </c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AW60" s="310"/>
      <c r="AX60" s="310"/>
      <c r="AY60" s="310"/>
      <c r="AZ60" s="310"/>
      <c r="BA60" s="310"/>
      <c r="BB60" s="310"/>
      <c r="BC60" s="78"/>
      <c r="BD60" s="14"/>
      <c r="DK60" s="201"/>
      <c r="DL60" s="195"/>
      <c r="DM60" s="195"/>
      <c r="DN60" s="199"/>
      <c r="DO60" s="200"/>
      <c r="DP60" s="195"/>
      <c r="DQ60" s="195"/>
    </row>
    <row r="61" spans="2:121" ht="12" customHeight="1">
      <c r="B61" s="12"/>
      <c r="C61" s="308" t="s">
        <v>108</v>
      </c>
      <c r="D61" s="308"/>
      <c r="E61" s="308"/>
      <c r="F61" s="308"/>
      <c r="G61" s="308"/>
      <c r="H61" s="308"/>
      <c r="I61" s="308"/>
      <c r="J61" s="308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2" t="s">
        <v>110</v>
      </c>
      <c r="V61" s="312"/>
      <c r="W61" s="312"/>
      <c r="X61" s="312"/>
      <c r="Y61" s="313"/>
      <c r="Z61" s="313"/>
      <c r="AA61" s="313"/>
      <c r="AB61" s="316" t="s">
        <v>112</v>
      </c>
      <c r="AC61" s="315"/>
      <c r="AD61" s="315"/>
      <c r="AE61" s="315"/>
      <c r="AF61" s="315"/>
      <c r="AG61" s="315"/>
      <c r="AH61" s="448"/>
      <c r="AI61" s="448"/>
      <c r="AJ61" s="448"/>
      <c r="AK61" s="448"/>
      <c r="AL61" s="448"/>
      <c r="AM61" s="448"/>
      <c r="AN61" s="448"/>
      <c r="AO61" s="448"/>
      <c r="AP61" s="447" t="s">
        <v>11</v>
      </c>
      <c r="AQ61" s="447"/>
      <c r="AR61" s="447"/>
      <c r="AS61" s="447"/>
      <c r="AT61" s="448"/>
      <c r="AU61" s="448"/>
      <c r="AV61" s="448"/>
      <c r="AW61" s="448"/>
      <c r="AX61" s="448"/>
      <c r="AY61" s="448"/>
      <c r="AZ61" s="448"/>
      <c r="BA61" s="448"/>
      <c r="BB61" s="448"/>
      <c r="BC61" s="102"/>
      <c r="BD61" s="14"/>
      <c r="DK61" s="201"/>
      <c r="DL61" s="195"/>
      <c r="DM61" s="195"/>
      <c r="DN61" s="195"/>
      <c r="DO61" s="202"/>
      <c r="DP61" s="195"/>
      <c r="DQ61" s="195"/>
    </row>
    <row r="62" spans="2:121" ht="12" customHeight="1">
      <c r="B62" s="12"/>
      <c r="C62" s="36"/>
      <c r="D62" s="41"/>
      <c r="E62" s="41"/>
      <c r="F62" s="41"/>
      <c r="G62" s="41"/>
      <c r="H62" s="41"/>
      <c r="I62" s="297" t="s">
        <v>109</v>
      </c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42"/>
      <c r="W62" s="42"/>
      <c r="X62" s="42"/>
      <c r="Y62" s="43"/>
      <c r="Z62" s="43"/>
      <c r="AA62" s="43"/>
      <c r="AB62" s="44"/>
      <c r="AC62" s="45"/>
      <c r="AD62" s="45"/>
      <c r="AE62" s="45"/>
      <c r="AF62" s="45"/>
      <c r="AG62" s="72"/>
      <c r="AH62" s="402" t="s">
        <v>113</v>
      </c>
      <c r="AI62" s="402"/>
      <c r="AJ62" s="402"/>
      <c r="AK62" s="402"/>
      <c r="AL62" s="402"/>
      <c r="AM62" s="402"/>
      <c r="AN62" s="402"/>
      <c r="AO62" s="402"/>
      <c r="AP62" s="45"/>
      <c r="AQ62" s="45"/>
      <c r="AR62" s="45"/>
      <c r="AS62" s="72"/>
      <c r="AT62" s="449" t="s">
        <v>114</v>
      </c>
      <c r="AU62" s="449"/>
      <c r="AV62" s="449"/>
      <c r="AW62" s="449"/>
      <c r="AX62" s="449"/>
      <c r="AY62" s="449"/>
      <c r="AZ62" s="449"/>
      <c r="BA62" s="449"/>
      <c r="BB62" s="449"/>
      <c r="BC62" s="31"/>
      <c r="BD62" s="14"/>
      <c r="DK62" s="203"/>
      <c r="DL62" s="199"/>
      <c r="DM62" s="195"/>
      <c r="DN62" s="195"/>
      <c r="DO62" s="195"/>
      <c r="DP62" s="195"/>
      <c r="DQ62" s="195"/>
    </row>
    <row r="63" spans="2:121" ht="12" customHeight="1">
      <c r="B63" s="12"/>
      <c r="C63" s="36"/>
      <c r="D63" s="41"/>
      <c r="E63" s="41"/>
      <c r="F63" s="41"/>
      <c r="G63" s="41"/>
      <c r="H63" s="41"/>
      <c r="I63" s="41"/>
      <c r="J63" s="41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5"/>
      <c r="AA63" s="45"/>
      <c r="AB63" s="301" t="s">
        <v>115</v>
      </c>
      <c r="AC63" s="302"/>
      <c r="AD63" s="302"/>
      <c r="AE63" s="302"/>
      <c r="AF63" s="302"/>
      <c r="AG63" s="302"/>
      <c r="AH63" s="302"/>
      <c r="AI63" s="302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2" t="s">
        <v>110</v>
      </c>
      <c r="AV63" s="312"/>
      <c r="AW63" s="312"/>
      <c r="AX63" s="312"/>
      <c r="AY63" s="313"/>
      <c r="AZ63" s="313"/>
      <c r="BA63" s="313"/>
      <c r="BB63" s="313"/>
      <c r="BC63" s="39"/>
      <c r="BD63" s="14"/>
      <c r="DK63" s="203"/>
      <c r="DL63" s="199"/>
      <c r="DM63" s="195"/>
      <c r="DN63" s="195"/>
      <c r="DO63" s="195"/>
      <c r="DP63" s="195"/>
      <c r="DQ63" s="195"/>
    </row>
    <row r="64" spans="2:121" ht="12" customHeight="1">
      <c r="B64" s="12"/>
      <c r="C64" s="36"/>
      <c r="D64" s="41"/>
      <c r="E64" s="41"/>
      <c r="F64" s="41"/>
      <c r="G64" s="41"/>
      <c r="H64" s="41"/>
      <c r="I64" s="41"/>
      <c r="J64" s="41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5"/>
      <c r="AA64" s="45"/>
      <c r="AB64" s="37"/>
      <c r="AC64" s="41"/>
      <c r="AD64" s="41"/>
      <c r="AE64" s="41"/>
      <c r="AF64" s="41"/>
      <c r="AG64" s="41"/>
      <c r="AH64" s="13"/>
      <c r="AI64" s="297" t="s">
        <v>109</v>
      </c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42"/>
      <c r="AW64" s="42"/>
      <c r="AX64" s="13"/>
      <c r="AY64" s="13"/>
      <c r="AZ64" s="13"/>
      <c r="BA64" s="46"/>
      <c r="BB64" s="46"/>
      <c r="BC64" s="46"/>
      <c r="BD64" s="14"/>
      <c r="DK64" s="203"/>
      <c r="DL64" s="199"/>
      <c r="DM64" s="195"/>
      <c r="DN64" s="195"/>
      <c r="DO64" s="200"/>
      <c r="DP64" s="195"/>
      <c r="DQ64" s="195"/>
    </row>
    <row r="65" spans="2:121" ht="12" customHeight="1">
      <c r="B65" s="12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8"/>
      <c r="AA65" s="48"/>
      <c r="AB65" s="217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48"/>
      <c r="AO65" s="48"/>
      <c r="AP65" s="48"/>
      <c r="AQ65" s="48"/>
      <c r="AR65" s="48"/>
      <c r="AS65" s="48"/>
      <c r="AT65" s="48"/>
      <c r="AU65" s="49"/>
      <c r="AV65" s="50"/>
      <c r="AW65" s="50"/>
      <c r="AX65" s="50"/>
      <c r="AY65" s="50"/>
      <c r="AZ65" s="50"/>
      <c r="BA65" s="50"/>
      <c r="BB65" s="50"/>
      <c r="BC65" s="46"/>
      <c r="BD65" s="14"/>
      <c r="DK65" s="203"/>
      <c r="DL65" s="199"/>
      <c r="DM65" s="195"/>
      <c r="DN65" s="195"/>
      <c r="DO65" s="200"/>
      <c r="DP65" s="195"/>
      <c r="DQ65" s="195"/>
    </row>
    <row r="66" spans="2:121" ht="10.5" customHeight="1">
      <c r="B66" s="12"/>
      <c r="C66" s="51"/>
      <c r="D66" s="51"/>
      <c r="E66" s="51"/>
      <c r="F66" s="51"/>
      <c r="G66" s="51"/>
      <c r="H66" s="51"/>
      <c r="I66" s="51"/>
      <c r="J66" s="51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13"/>
      <c r="AA66" s="13"/>
      <c r="AB66" s="53"/>
      <c r="AC66" s="13"/>
      <c r="AD66" s="13"/>
      <c r="AE66" s="13"/>
      <c r="AF66" s="13"/>
      <c r="AG66" s="24"/>
      <c r="AH66" s="24"/>
      <c r="AI66" s="24"/>
      <c r="AJ66" s="24"/>
      <c r="AK66" s="24"/>
      <c r="AL66" s="45"/>
      <c r="AM66" s="45"/>
      <c r="AN66" s="24"/>
      <c r="AO66" s="24"/>
      <c r="AP66" s="24"/>
      <c r="AQ66" s="24"/>
      <c r="AR66" s="24"/>
      <c r="AS66" s="24"/>
      <c r="AT66" s="24"/>
      <c r="AU66" s="54"/>
      <c r="AV66" s="4"/>
      <c r="AW66" s="13"/>
      <c r="AX66" s="13"/>
      <c r="AY66" s="13"/>
      <c r="AZ66" s="13"/>
      <c r="BA66" s="13"/>
      <c r="BB66" s="13"/>
      <c r="BC66" s="13"/>
      <c r="BD66" s="14"/>
      <c r="DK66" s="203"/>
      <c r="DL66" s="199"/>
      <c r="DM66" s="195"/>
      <c r="DN66" s="199"/>
      <c r="DO66" s="195"/>
      <c r="DP66" s="195"/>
      <c r="DQ66" s="195"/>
    </row>
    <row r="67" spans="2:121" ht="10.5" customHeight="1">
      <c r="B67" s="12"/>
      <c r="C67" s="253" t="s">
        <v>116</v>
      </c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45"/>
      <c r="AV67" s="45"/>
      <c r="AW67" s="45"/>
      <c r="AX67" s="45"/>
      <c r="AY67" s="45"/>
      <c r="AZ67" s="45"/>
      <c r="BA67" s="45"/>
      <c r="BB67" s="45"/>
      <c r="BC67" s="45"/>
      <c r="BD67" s="14"/>
      <c r="DK67" s="203"/>
      <c r="DL67" s="199"/>
      <c r="DM67" s="195"/>
      <c r="DN67" s="195"/>
      <c r="DO67" s="195"/>
      <c r="DP67" s="195"/>
      <c r="DQ67" s="195"/>
    </row>
    <row r="68" spans="2:121" ht="12" customHeight="1">
      <c r="B68" s="12"/>
      <c r="C68" s="298" t="s">
        <v>12</v>
      </c>
      <c r="D68" s="298"/>
      <c r="E68" s="298"/>
      <c r="F68" s="298"/>
      <c r="G68" s="298" t="s">
        <v>13</v>
      </c>
      <c r="H68" s="298"/>
      <c r="I68" s="298"/>
      <c r="J68" s="298"/>
      <c r="K68" s="298"/>
      <c r="L68" s="303" t="s">
        <v>117</v>
      </c>
      <c r="M68" s="303"/>
      <c r="N68" s="303"/>
      <c r="O68" s="303"/>
      <c r="P68" s="303"/>
      <c r="Q68" s="303"/>
      <c r="R68" s="242" t="s">
        <v>14</v>
      </c>
      <c r="S68" s="242"/>
      <c r="T68" s="242"/>
      <c r="U68" s="242" t="s">
        <v>22</v>
      </c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25" t="s">
        <v>18</v>
      </c>
      <c r="AH68" s="225"/>
      <c r="AI68" s="225"/>
      <c r="AJ68" s="225"/>
      <c r="AK68" s="225"/>
      <c r="AL68" s="225"/>
      <c r="AM68" s="225"/>
      <c r="AN68" s="225"/>
      <c r="AO68" s="225"/>
      <c r="AP68" s="225"/>
      <c r="AQ68" s="298" t="s">
        <v>15</v>
      </c>
      <c r="AR68" s="298"/>
      <c r="AS68" s="298"/>
      <c r="AT68" s="298"/>
      <c r="AU68" s="437" t="s">
        <v>25</v>
      </c>
      <c r="AV68" s="412"/>
      <c r="AW68" s="412"/>
      <c r="AX68" s="412"/>
      <c r="AY68" s="412"/>
      <c r="AZ68" s="412"/>
      <c r="BA68" s="412"/>
      <c r="BB68" s="412"/>
      <c r="BC68" s="76"/>
      <c r="BD68" s="14"/>
      <c r="DK68" s="203"/>
      <c r="DL68" s="199"/>
      <c r="DM68" s="195"/>
      <c r="DN68" s="195"/>
      <c r="DO68" s="200"/>
      <c r="DP68" s="195"/>
      <c r="DQ68" s="187"/>
    </row>
    <row r="69" spans="2:121" ht="12" customHeight="1">
      <c r="B69" s="12"/>
      <c r="C69" s="299"/>
      <c r="D69" s="299"/>
      <c r="E69" s="299"/>
      <c r="F69" s="299"/>
      <c r="G69" s="299"/>
      <c r="H69" s="299"/>
      <c r="I69" s="299"/>
      <c r="J69" s="299"/>
      <c r="K69" s="299"/>
      <c r="L69" s="304"/>
      <c r="M69" s="304"/>
      <c r="N69" s="304"/>
      <c r="O69" s="304"/>
      <c r="P69" s="304"/>
      <c r="Q69" s="304"/>
      <c r="R69" s="242"/>
      <c r="S69" s="242"/>
      <c r="T69" s="242"/>
      <c r="U69" s="298" t="s">
        <v>21</v>
      </c>
      <c r="V69" s="298"/>
      <c r="W69" s="298"/>
      <c r="X69" s="298"/>
      <c r="Y69" s="298" t="s">
        <v>20</v>
      </c>
      <c r="Z69" s="298"/>
      <c r="AA69" s="298"/>
      <c r="AB69" s="298"/>
      <c r="AC69" s="298" t="s">
        <v>19</v>
      </c>
      <c r="AD69" s="298"/>
      <c r="AE69" s="298"/>
      <c r="AF69" s="298"/>
      <c r="AG69" s="299" t="s">
        <v>17</v>
      </c>
      <c r="AH69" s="299"/>
      <c r="AI69" s="299"/>
      <c r="AJ69" s="299"/>
      <c r="AK69" s="299" t="s">
        <v>16</v>
      </c>
      <c r="AL69" s="299"/>
      <c r="AM69" s="299"/>
      <c r="AN69" s="299"/>
      <c r="AO69" s="299"/>
      <c r="AP69" s="299"/>
      <c r="AQ69" s="299"/>
      <c r="AR69" s="299"/>
      <c r="AS69" s="299"/>
      <c r="AT69" s="299"/>
      <c r="AU69" s="377"/>
      <c r="AV69" s="378"/>
      <c r="AW69" s="378"/>
      <c r="AX69" s="378"/>
      <c r="AY69" s="378"/>
      <c r="AZ69" s="378"/>
      <c r="BA69" s="378"/>
      <c r="BB69" s="378"/>
      <c r="BC69" s="26"/>
      <c r="BD69" s="14"/>
      <c r="DK69" s="203"/>
      <c r="DL69" s="199"/>
      <c r="DM69" s="195"/>
      <c r="DN69" s="195"/>
      <c r="DO69" s="200"/>
      <c r="DP69" s="195"/>
      <c r="DQ69" s="195"/>
    </row>
    <row r="70" spans="2:121" ht="12" customHeight="1">
      <c r="B70" s="12"/>
      <c r="C70" s="300"/>
      <c r="D70" s="300"/>
      <c r="E70" s="300"/>
      <c r="F70" s="300"/>
      <c r="G70" s="300"/>
      <c r="H70" s="300"/>
      <c r="I70" s="300"/>
      <c r="J70" s="300"/>
      <c r="K70" s="300"/>
      <c r="L70" s="305"/>
      <c r="M70" s="305"/>
      <c r="N70" s="305"/>
      <c r="O70" s="305"/>
      <c r="P70" s="305"/>
      <c r="Q70" s="305"/>
      <c r="R70" s="242"/>
      <c r="S70" s="242"/>
      <c r="T70" s="242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39"/>
      <c r="AV70" s="340"/>
      <c r="AW70" s="340"/>
      <c r="AX70" s="340"/>
      <c r="AY70" s="340"/>
      <c r="AZ70" s="340"/>
      <c r="BA70" s="340"/>
      <c r="BB70" s="340"/>
      <c r="BC70" s="26"/>
      <c r="BD70" s="14"/>
      <c r="DK70" s="203"/>
      <c r="DL70" s="199"/>
      <c r="DM70" s="195"/>
      <c r="DN70" s="195"/>
      <c r="DO70" s="195"/>
      <c r="DP70" s="195"/>
      <c r="DQ70" s="195"/>
    </row>
    <row r="71" spans="2:121" ht="9.75" customHeight="1">
      <c r="B71" s="12"/>
      <c r="C71" s="226"/>
      <c r="D71" s="226"/>
      <c r="E71" s="226"/>
      <c r="F71" s="226"/>
      <c r="G71" s="226">
        <v>12</v>
      </c>
      <c r="H71" s="226"/>
      <c r="I71" s="226"/>
      <c r="J71" s="226"/>
      <c r="K71" s="226"/>
      <c r="L71" s="226">
        <v>13</v>
      </c>
      <c r="M71" s="226"/>
      <c r="N71" s="226"/>
      <c r="O71" s="226"/>
      <c r="P71" s="226"/>
      <c r="Q71" s="226"/>
      <c r="R71" s="226">
        <v>14</v>
      </c>
      <c r="S71" s="226"/>
      <c r="T71" s="226"/>
      <c r="U71" s="226">
        <v>15</v>
      </c>
      <c r="V71" s="226"/>
      <c r="W71" s="226"/>
      <c r="X71" s="226"/>
      <c r="Y71" s="226">
        <v>16</v>
      </c>
      <c r="Z71" s="226"/>
      <c r="AA71" s="226"/>
      <c r="AB71" s="226"/>
      <c r="AC71" s="226">
        <v>17</v>
      </c>
      <c r="AD71" s="226"/>
      <c r="AE71" s="226"/>
      <c r="AF71" s="226"/>
      <c r="AG71" s="226">
        <v>18</v>
      </c>
      <c r="AH71" s="226"/>
      <c r="AI71" s="226"/>
      <c r="AJ71" s="226"/>
      <c r="AK71" s="226">
        <v>19</v>
      </c>
      <c r="AL71" s="226"/>
      <c r="AM71" s="226"/>
      <c r="AN71" s="226"/>
      <c r="AO71" s="226"/>
      <c r="AP71" s="226"/>
      <c r="AQ71" s="226">
        <v>20</v>
      </c>
      <c r="AR71" s="226"/>
      <c r="AS71" s="226"/>
      <c r="AT71" s="226"/>
      <c r="AU71" s="339"/>
      <c r="AV71" s="340"/>
      <c r="AW71" s="340"/>
      <c r="AX71" s="340"/>
      <c r="AY71" s="340"/>
      <c r="AZ71" s="340"/>
      <c r="BA71" s="340"/>
      <c r="BB71" s="340"/>
      <c r="BC71" s="26"/>
      <c r="BD71" s="14"/>
      <c r="DK71" s="203"/>
      <c r="DL71" s="199"/>
      <c r="DM71" s="195"/>
      <c r="DN71" s="195"/>
      <c r="DO71" s="195"/>
      <c r="DP71" s="195"/>
      <c r="DQ71" s="195"/>
    </row>
    <row r="72" spans="2:121" ht="12" customHeight="1">
      <c r="B72" s="12"/>
      <c r="C72" s="309" t="s">
        <v>23</v>
      </c>
      <c r="D72" s="309"/>
      <c r="E72" s="309"/>
      <c r="F72" s="309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339"/>
      <c r="AV72" s="340"/>
      <c r="AW72" s="340"/>
      <c r="AX72" s="340"/>
      <c r="AY72" s="340"/>
      <c r="AZ72" s="340"/>
      <c r="BA72" s="340"/>
      <c r="BB72" s="340"/>
      <c r="BC72" s="26"/>
      <c r="BD72" s="14"/>
      <c r="DK72" s="203"/>
      <c r="DL72" s="199"/>
      <c r="DM72" s="195"/>
      <c r="DN72" s="195"/>
      <c r="DO72" s="200"/>
      <c r="DP72" s="195"/>
      <c r="DQ72" s="195"/>
    </row>
    <row r="73" spans="2:121" ht="12" customHeight="1">
      <c r="B73" s="12"/>
      <c r="C73" s="380" t="s">
        <v>24</v>
      </c>
      <c r="D73" s="380"/>
      <c r="E73" s="380"/>
      <c r="F73" s="380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379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79"/>
      <c r="AD73" s="379"/>
      <c r="AE73" s="379"/>
      <c r="AF73" s="379"/>
      <c r="AG73" s="379"/>
      <c r="AH73" s="379"/>
      <c r="AI73" s="379"/>
      <c r="AJ73" s="379"/>
      <c r="AK73" s="379"/>
      <c r="AL73" s="379"/>
      <c r="AM73" s="379"/>
      <c r="AN73" s="379"/>
      <c r="AO73" s="379"/>
      <c r="AP73" s="379"/>
      <c r="AQ73" s="379"/>
      <c r="AR73" s="379"/>
      <c r="AS73" s="379"/>
      <c r="AT73" s="379"/>
      <c r="AU73" s="339"/>
      <c r="AV73" s="340"/>
      <c r="AW73" s="340"/>
      <c r="AX73" s="340"/>
      <c r="AY73" s="340"/>
      <c r="AZ73" s="340"/>
      <c r="BA73" s="340"/>
      <c r="BB73" s="340"/>
      <c r="BC73" s="26"/>
      <c r="BD73" s="14"/>
      <c r="DK73" s="203"/>
      <c r="DL73" s="199"/>
      <c r="DM73" s="195"/>
      <c r="DN73" s="195"/>
      <c r="DO73" s="200"/>
      <c r="DP73" s="195"/>
      <c r="DQ73" s="195"/>
    </row>
    <row r="74" spans="2:121" ht="10.5" customHeight="1">
      <c r="B74" s="12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13"/>
      <c r="AV74" s="15"/>
      <c r="AW74" s="56"/>
      <c r="AX74" s="56"/>
      <c r="AY74" s="56"/>
      <c r="AZ74" s="56"/>
      <c r="BA74" s="56"/>
      <c r="BB74" s="56"/>
      <c r="BC74" s="56"/>
      <c r="BD74" s="14"/>
      <c r="DK74" s="203"/>
      <c r="DL74" s="199"/>
      <c r="DM74" s="195"/>
      <c r="DN74" s="195"/>
      <c r="DO74" s="200"/>
      <c r="DP74" s="195"/>
      <c r="DQ74" s="195"/>
    </row>
    <row r="75" spans="2:121" ht="10.5" customHeight="1">
      <c r="B75" s="12"/>
      <c r="C75" s="253" t="s">
        <v>118</v>
      </c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132"/>
      <c r="AU75" s="375"/>
      <c r="AV75" s="375"/>
      <c r="AW75" s="375"/>
      <c r="AX75" s="375"/>
      <c r="AY75" s="375"/>
      <c r="AZ75" s="375"/>
      <c r="BA75" s="375"/>
      <c r="BB75" s="375"/>
      <c r="BC75" s="26"/>
      <c r="BD75" s="14"/>
      <c r="DK75" s="203"/>
      <c r="DL75" s="199"/>
      <c r="DM75" s="195"/>
      <c r="DN75" s="195"/>
      <c r="DO75" s="195"/>
      <c r="DP75" s="195"/>
      <c r="DQ75" s="195"/>
    </row>
    <row r="76" spans="2:121" ht="12" customHeight="1">
      <c r="B76" s="12"/>
      <c r="C76" s="247" t="s">
        <v>27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9"/>
      <c r="X76" s="237" t="s">
        <v>133</v>
      </c>
      <c r="Y76" s="238"/>
      <c r="Z76" s="238"/>
      <c r="AA76" s="239"/>
      <c r="AB76" s="237" t="s">
        <v>33</v>
      </c>
      <c r="AC76" s="238"/>
      <c r="AD76" s="238"/>
      <c r="AE76" s="238"/>
      <c r="AF76" s="238"/>
      <c r="AG76" s="239"/>
      <c r="AH76" s="237" t="s">
        <v>28</v>
      </c>
      <c r="AI76" s="238"/>
      <c r="AJ76" s="238"/>
      <c r="AK76" s="238"/>
      <c r="AL76" s="238"/>
      <c r="AM76" s="239"/>
      <c r="AN76" s="247" t="s">
        <v>29</v>
      </c>
      <c r="AO76" s="248"/>
      <c r="AP76" s="249"/>
      <c r="AQ76" s="390"/>
      <c r="AR76" s="391"/>
      <c r="AS76" s="392"/>
      <c r="AT76" s="440" t="s">
        <v>200</v>
      </c>
      <c r="AU76" s="407"/>
      <c r="AV76" s="407"/>
      <c r="AW76" s="407"/>
      <c r="AX76" s="407"/>
      <c r="AY76" s="407"/>
      <c r="AZ76" s="407"/>
      <c r="BA76" s="407"/>
      <c r="BB76" s="407"/>
      <c r="BC76" s="23"/>
      <c r="BD76" s="57"/>
      <c r="DK76" s="203"/>
      <c r="DL76" s="204"/>
      <c r="DM76" s="195"/>
      <c r="DN76" s="195"/>
      <c r="DO76" s="200"/>
      <c r="DP76" s="195"/>
      <c r="DQ76" s="199"/>
    </row>
    <row r="77" spans="2:121" ht="12" customHeight="1">
      <c r="B77" s="12"/>
      <c r="C77" s="250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2"/>
      <c r="X77" s="237"/>
      <c r="Y77" s="238"/>
      <c r="Z77" s="238"/>
      <c r="AA77" s="239"/>
      <c r="AB77" s="237"/>
      <c r="AC77" s="238"/>
      <c r="AD77" s="238"/>
      <c r="AE77" s="238"/>
      <c r="AF77" s="238"/>
      <c r="AG77" s="239"/>
      <c r="AH77" s="276"/>
      <c r="AI77" s="277"/>
      <c r="AJ77" s="277"/>
      <c r="AK77" s="277"/>
      <c r="AL77" s="277"/>
      <c r="AM77" s="278"/>
      <c r="AN77" s="247"/>
      <c r="AO77" s="248"/>
      <c r="AP77" s="249"/>
      <c r="AQ77" s="390"/>
      <c r="AR77" s="391"/>
      <c r="AS77" s="392"/>
      <c r="AT77" s="270"/>
      <c r="AU77" s="271"/>
      <c r="AV77" s="271"/>
      <c r="AW77" s="271"/>
      <c r="AX77" s="271"/>
      <c r="AY77" s="271"/>
      <c r="AZ77" s="271"/>
      <c r="BA77" s="271"/>
      <c r="BB77" s="271"/>
      <c r="BC77" s="76"/>
      <c r="BD77" s="14"/>
      <c r="DK77" s="203"/>
      <c r="DL77" s="199"/>
      <c r="DM77" s="195"/>
      <c r="DN77" s="195"/>
      <c r="DO77" s="200"/>
      <c r="DP77" s="195"/>
      <c r="DQ77" s="199"/>
    </row>
    <row r="78" spans="2:121" ht="12" customHeight="1">
      <c r="B78" s="12"/>
      <c r="C78" s="242" t="s">
        <v>26</v>
      </c>
      <c r="D78" s="242"/>
      <c r="E78" s="242"/>
      <c r="F78" s="242"/>
      <c r="G78" s="242"/>
      <c r="H78" s="242" t="s">
        <v>122</v>
      </c>
      <c r="I78" s="242"/>
      <c r="J78" s="242"/>
      <c r="K78" s="242"/>
      <c r="L78" s="242" t="s">
        <v>119</v>
      </c>
      <c r="M78" s="242"/>
      <c r="N78" s="242"/>
      <c r="O78" s="242"/>
      <c r="P78" s="242" t="s">
        <v>120</v>
      </c>
      <c r="Q78" s="242"/>
      <c r="R78" s="242"/>
      <c r="S78" s="242"/>
      <c r="T78" s="242" t="s">
        <v>121</v>
      </c>
      <c r="U78" s="242"/>
      <c r="V78" s="242"/>
      <c r="W78" s="242"/>
      <c r="X78" s="238"/>
      <c r="Y78" s="238"/>
      <c r="Z78" s="238"/>
      <c r="AA78" s="239"/>
      <c r="AB78" s="237"/>
      <c r="AC78" s="238"/>
      <c r="AD78" s="238"/>
      <c r="AE78" s="238"/>
      <c r="AF78" s="238"/>
      <c r="AG78" s="238"/>
      <c r="AH78" s="225" t="s">
        <v>123</v>
      </c>
      <c r="AI78" s="242"/>
      <c r="AJ78" s="242"/>
      <c r="AK78" s="225" t="s">
        <v>124</v>
      </c>
      <c r="AL78" s="242"/>
      <c r="AM78" s="242"/>
      <c r="AN78" s="248"/>
      <c r="AO78" s="248"/>
      <c r="AP78" s="249"/>
      <c r="AQ78" s="390"/>
      <c r="AR78" s="391"/>
      <c r="AS78" s="392"/>
      <c r="AT78" s="272"/>
      <c r="AU78" s="254"/>
      <c r="AV78" s="254"/>
      <c r="AW78" s="254"/>
      <c r="AX78" s="254"/>
      <c r="AY78" s="254"/>
      <c r="AZ78" s="254"/>
      <c r="BA78" s="254"/>
      <c r="BB78" s="254"/>
      <c r="BC78" s="76"/>
      <c r="BD78" s="14"/>
      <c r="DK78" s="201"/>
      <c r="DL78" s="204"/>
      <c r="DM78" s="199"/>
      <c r="DN78" s="195"/>
      <c r="DO78" s="200"/>
      <c r="DP78" s="195"/>
      <c r="DQ78" s="199"/>
    </row>
    <row r="79" spans="2:121" ht="12" customHeight="1">
      <c r="B79" s="1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77"/>
      <c r="Y79" s="277"/>
      <c r="Z79" s="277"/>
      <c r="AA79" s="278"/>
      <c r="AB79" s="276"/>
      <c r="AC79" s="277"/>
      <c r="AD79" s="277"/>
      <c r="AE79" s="277"/>
      <c r="AF79" s="277"/>
      <c r="AG79" s="277"/>
      <c r="AH79" s="242"/>
      <c r="AI79" s="242"/>
      <c r="AJ79" s="242"/>
      <c r="AK79" s="242"/>
      <c r="AL79" s="242"/>
      <c r="AM79" s="242"/>
      <c r="AN79" s="251"/>
      <c r="AO79" s="251"/>
      <c r="AP79" s="252"/>
      <c r="AQ79" s="393"/>
      <c r="AR79" s="394"/>
      <c r="AS79" s="395"/>
      <c r="AT79" s="388" t="s">
        <v>43</v>
      </c>
      <c r="AU79" s="389"/>
      <c r="AV79" s="389"/>
      <c r="AW79" s="389"/>
      <c r="AX79" s="254"/>
      <c r="AY79" s="254"/>
      <c r="AZ79" s="254"/>
      <c r="BA79" s="254"/>
      <c r="BB79" s="254"/>
      <c r="BC79" s="76"/>
      <c r="BD79" s="14"/>
      <c r="DK79" s="205"/>
      <c r="DL79" s="195"/>
      <c r="DM79" s="199"/>
      <c r="DN79" s="195"/>
      <c r="DO79" s="200"/>
      <c r="DP79" s="195"/>
      <c r="DQ79" s="195"/>
    </row>
    <row r="80" spans="2:121" ht="9.75" customHeight="1">
      <c r="B80" s="12"/>
      <c r="C80" s="230">
        <v>21</v>
      </c>
      <c r="D80" s="231"/>
      <c r="E80" s="231"/>
      <c r="F80" s="231"/>
      <c r="G80" s="232"/>
      <c r="H80" s="230">
        <v>22</v>
      </c>
      <c r="I80" s="231"/>
      <c r="J80" s="231"/>
      <c r="K80" s="232"/>
      <c r="L80" s="230">
        <v>23</v>
      </c>
      <c r="M80" s="231"/>
      <c r="N80" s="231"/>
      <c r="O80" s="232"/>
      <c r="P80" s="230">
        <v>24</v>
      </c>
      <c r="Q80" s="231"/>
      <c r="R80" s="231"/>
      <c r="S80" s="232"/>
      <c r="T80" s="230">
        <v>25</v>
      </c>
      <c r="U80" s="231"/>
      <c r="V80" s="231"/>
      <c r="W80" s="232"/>
      <c r="X80" s="230">
        <v>26</v>
      </c>
      <c r="Y80" s="231"/>
      <c r="Z80" s="231"/>
      <c r="AA80" s="232"/>
      <c r="AB80" s="230">
        <v>27</v>
      </c>
      <c r="AC80" s="231"/>
      <c r="AD80" s="231"/>
      <c r="AE80" s="231"/>
      <c r="AF80" s="231"/>
      <c r="AG80" s="232"/>
      <c r="AH80" s="230">
        <v>28</v>
      </c>
      <c r="AI80" s="231"/>
      <c r="AJ80" s="232"/>
      <c r="AK80" s="230">
        <v>29</v>
      </c>
      <c r="AL80" s="231"/>
      <c r="AM80" s="232"/>
      <c r="AN80" s="230">
        <v>30</v>
      </c>
      <c r="AO80" s="231"/>
      <c r="AP80" s="232"/>
      <c r="AQ80" s="226">
        <v>31</v>
      </c>
      <c r="AR80" s="226"/>
      <c r="AS80" s="226"/>
      <c r="AT80" s="270"/>
      <c r="AU80" s="271"/>
      <c r="AV80" s="271"/>
      <c r="AW80" s="271"/>
      <c r="AX80" s="254"/>
      <c r="AY80" s="254"/>
      <c r="AZ80" s="254"/>
      <c r="BA80" s="254"/>
      <c r="BB80" s="254"/>
      <c r="BC80" s="76"/>
      <c r="BD80" s="14"/>
      <c r="DK80" s="195"/>
      <c r="DL80" s="195"/>
      <c r="DM80" s="199"/>
      <c r="DN80" s="195"/>
      <c r="DO80" s="200"/>
      <c r="DP80" s="195"/>
      <c r="DQ80" s="195"/>
    </row>
    <row r="81" spans="2:121" ht="12" customHeight="1">
      <c r="B81" s="12"/>
      <c r="C81" s="381"/>
      <c r="D81" s="382"/>
      <c r="E81" s="382"/>
      <c r="F81" s="382"/>
      <c r="G81" s="383"/>
      <c r="H81" s="381"/>
      <c r="I81" s="382"/>
      <c r="J81" s="382"/>
      <c r="K81" s="383"/>
      <c r="L81" s="381"/>
      <c r="M81" s="382"/>
      <c r="N81" s="382"/>
      <c r="O81" s="383"/>
      <c r="P81" s="381"/>
      <c r="Q81" s="382"/>
      <c r="R81" s="382"/>
      <c r="S81" s="383"/>
      <c r="T81" s="381"/>
      <c r="U81" s="382"/>
      <c r="V81" s="382"/>
      <c r="W81" s="383"/>
      <c r="X81" s="381"/>
      <c r="Y81" s="382"/>
      <c r="Z81" s="382"/>
      <c r="AA81" s="383"/>
      <c r="AB81" s="381"/>
      <c r="AC81" s="382"/>
      <c r="AD81" s="382"/>
      <c r="AE81" s="382"/>
      <c r="AF81" s="382"/>
      <c r="AG81" s="383"/>
      <c r="AH81" s="381"/>
      <c r="AI81" s="382"/>
      <c r="AJ81" s="383"/>
      <c r="AK81" s="381"/>
      <c r="AL81" s="382"/>
      <c r="AM81" s="383"/>
      <c r="AN81" s="381"/>
      <c r="AO81" s="382"/>
      <c r="AP81" s="383"/>
      <c r="AQ81" s="273"/>
      <c r="AR81" s="274"/>
      <c r="AS81" s="275"/>
      <c r="AT81" s="272"/>
      <c r="AU81" s="254"/>
      <c r="AV81" s="254"/>
      <c r="AW81" s="254"/>
      <c r="AX81" s="254"/>
      <c r="AY81" s="254"/>
      <c r="AZ81" s="254"/>
      <c r="BA81" s="254"/>
      <c r="BB81" s="254"/>
      <c r="BC81" s="76"/>
      <c r="BD81" s="14"/>
      <c r="DK81" s="195"/>
      <c r="DL81" s="195"/>
      <c r="DM81" s="195"/>
      <c r="DN81" s="195"/>
      <c r="DO81" s="195"/>
      <c r="DP81" s="195"/>
      <c r="DQ81" s="195"/>
    </row>
    <row r="82" spans="2:121" ht="10.5" customHeight="1">
      <c r="B82" s="12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9"/>
      <c r="AR82" s="59"/>
      <c r="AS82" s="59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4"/>
      <c r="DK82" s="195"/>
      <c r="DL82" s="195"/>
      <c r="DM82" s="195"/>
      <c r="DN82" s="195"/>
      <c r="DO82" s="195"/>
      <c r="DP82" s="195"/>
      <c r="DQ82" s="195"/>
    </row>
    <row r="83" spans="2:121" ht="9.75" customHeight="1">
      <c r="B83" s="12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13"/>
      <c r="AT83" s="13"/>
      <c r="AU83" s="13"/>
      <c r="AV83" s="24"/>
      <c r="AW83" s="56"/>
      <c r="AX83" s="56"/>
      <c r="AY83" s="56"/>
      <c r="AZ83" s="56"/>
      <c r="BA83" s="56"/>
      <c r="BB83" s="56"/>
      <c r="BC83" s="56"/>
      <c r="BD83" s="14"/>
      <c r="DK83" s="195"/>
      <c r="DL83" s="195"/>
      <c r="DM83" s="195"/>
      <c r="DN83" s="195"/>
      <c r="DO83" s="195"/>
      <c r="DP83" s="195"/>
      <c r="DQ83" s="195"/>
    </row>
    <row r="84" spans="2:121" ht="12" customHeight="1">
      <c r="B84" s="12"/>
      <c r="C84" s="234" t="s">
        <v>30</v>
      </c>
      <c r="D84" s="235"/>
      <c r="E84" s="235"/>
      <c r="F84" s="235"/>
      <c r="G84" s="236"/>
      <c r="H84" s="244" t="s">
        <v>31</v>
      </c>
      <c r="I84" s="245"/>
      <c r="J84" s="245"/>
      <c r="K84" s="246"/>
      <c r="L84" s="234" t="s">
        <v>32</v>
      </c>
      <c r="M84" s="235"/>
      <c r="N84" s="236"/>
      <c r="O84" s="225" t="s">
        <v>125</v>
      </c>
      <c r="P84" s="225"/>
      <c r="Q84" s="225"/>
      <c r="R84" s="225"/>
      <c r="S84" s="234" t="s">
        <v>33</v>
      </c>
      <c r="T84" s="235"/>
      <c r="U84" s="235"/>
      <c r="V84" s="236"/>
      <c r="W84" s="225" t="s">
        <v>136</v>
      </c>
      <c r="X84" s="225"/>
      <c r="Y84" s="225"/>
      <c r="Z84" s="225"/>
      <c r="AA84" s="225" t="s">
        <v>126</v>
      </c>
      <c r="AB84" s="225"/>
      <c r="AC84" s="225"/>
      <c r="AD84" s="225"/>
      <c r="AE84" s="225"/>
      <c r="AF84" s="225"/>
      <c r="AG84" s="225"/>
      <c r="AH84" s="225"/>
      <c r="AI84" s="225" t="s">
        <v>36</v>
      </c>
      <c r="AJ84" s="225"/>
      <c r="AK84" s="225"/>
      <c r="AL84" s="225"/>
      <c r="AM84" s="225"/>
      <c r="AN84" s="225" t="s">
        <v>128</v>
      </c>
      <c r="AO84" s="225"/>
      <c r="AP84" s="225"/>
      <c r="AQ84" s="225"/>
      <c r="AR84" s="225"/>
      <c r="AS84" s="242" t="s">
        <v>37</v>
      </c>
      <c r="AT84" s="242"/>
      <c r="AU84" s="242"/>
      <c r="AV84" s="242"/>
      <c r="AW84" s="242"/>
      <c r="AX84" s="242"/>
      <c r="AY84" s="242"/>
      <c r="AZ84" s="242"/>
      <c r="BA84" s="242"/>
      <c r="BB84" s="242"/>
      <c r="BC84" s="56"/>
      <c r="BD84" s="14"/>
      <c r="DK84" s="195"/>
      <c r="DL84" s="195"/>
      <c r="DM84" s="195"/>
      <c r="DN84" s="195"/>
      <c r="DO84" s="195"/>
      <c r="DP84" s="195"/>
      <c r="DQ84" s="195"/>
    </row>
    <row r="85" spans="2:121" ht="12" customHeight="1">
      <c r="B85" s="12"/>
      <c r="C85" s="237"/>
      <c r="D85" s="238"/>
      <c r="E85" s="238"/>
      <c r="F85" s="238"/>
      <c r="G85" s="239"/>
      <c r="H85" s="247"/>
      <c r="I85" s="248"/>
      <c r="J85" s="248"/>
      <c r="K85" s="249"/>
      <c r="L85" s="237"/>
      <c r="M85" s="238"/>
      <c r="N85" s="239"/>
      <c r="O85" s="225"/>
      <c r="P85" s="225"/>
      <c r="Q85" s="225"/>
      <c r="R85" s="225"/>
      <c r="S85" s="237"/>
      <c r="T85" s="238"/>
      <c r="U85" s="238"/>
      <c r="V85" s="239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6"/>
      <c r="BD85" s="14"/>
      <c r="DK85" s="195"/>
      <c r="DL85" s="195"/>
      <c r="DM85" s="195"/>
      <c r="DN85" s="195"/>
      <c r="DO85" s="195"/>
      <c r="DP85" s="195"/>
      <c r="DQ85" s="195"/>
    </row>
    <row r="86" spans="2:121" ht="12" customHeight="1">
      <c r="B86" s="12"/>
      <c r="C86" s="237"/>
      <c r="D86" s="238"/>
      <c r="E86" s="238"/>
      <c r="F86" s="238"/>
      <c r="G86" s="239"/>
      <c r="H86" s="247"/>
      <c r="I86" s="248"/>
      <c r="J86" s="248"/>
      <c r="K86" s="249"/>
      <c r="L86" s="237"/>
      <c r="M86" s="238"/>
      <c r="N86" s="239"/>
      <c r="O86" s="225"/>
      <c r="P86" s="225"/>
      <c r="Q86" s="225"/>
      <c r="R86" s="225"/>
      <c r="S86" s="237"/>
      <c r="T86" s="238"/>
      <c r="U86" s="238"/>
      <c r="V86" s="239"/>
      <c r="W86" s="225"/>
      <c r="X86" s="225"/>
      <c r="Y86" s="225"/>
      <c r="Z86" s="225"/>
      <c r="AA86" s="242" t="s">
        <v>34</v>
      </c>
      <c r="AB86" s="242"/>
      <c r="AC86" s="242"/>
      <c r="AD86" s="242"/>
      <c r="AE86" s="242" t="s">
        <v>35</v>
      </c>
      <c r="AF86" s="242"/>
      <c r="AG86" s="242"/>
      <c r="AH86" s="242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42" t="s">
        <v>38</v>
      </c>
      <c r="AT86" s="242"/>
      <c r="AU86" s="242"/>
      <c r="AV86" s="242"/>
      <c r="AW86" s="242"/>
      <c r="AX86" s="225" t="s">
        <v>39</v>
      </c>
      <c r="AY86" s="225"/>
      <c r="AZ86" s="225"/>
      <c r="BA86" s="225"/>
      <c r="BB86" s="225"/>
      <c r="BC86" s="26"/>
      <c r="BD86" s="14"/>
      <c r="DK86" s="195"/>
      <c r="DL86" s="195"/>
      <c r="DM86" s="195"/>
      <c r="DN86" s="195"/>
      <c r="DO86" s="195"/>
      <c r="DP86" s="195"/>
      <c r="DQ86" s="195"/>
    </row>
    <row r="87" spans="2:121" ht="12" customHeight="1">
      <c r="B87" s="12"/>
      <c r="C87" s="276"/>
      <c r="D87" s="277"/>
      <c r="E87" s="277"/>
      <c r="F87" s="277"/>
      <c r="G87" s="278"/>
      <c r="H87" s="250"/>
      <c r="I87" s="251"/>
      <c r="J87" s="251"/>
      <c r="K87" s="252"/>
      <c r="L87" s="276"/>
      <c r="M87" s="277"/>
      <c r="N87" s="278"/>
      <c r="O87" s="225"/>
      <c r="P87" s="225"/>
      <c r="Q87" s="225"/>
      <c r="R87" s="225"/>
      <c r="S87" s="276"/>
      <c r="T87" s="277"/>
      <c r="U87" s="277"/>
      <c r="V87" s="278"/>
      <c r="W87" s="225"/>
      <c r="X87" s="225"/>
      <c r="Y87" s="225"/>
      <c r="Z87" s="225"/>
      <c r="AA87" s="242"/>
      <c r="AB87" s="242"/>
      <c r="AC87" s="242"/>
      <c r="AD87" s="242"/>
      <c r="AE87" s="242"/>
      <c r="AF87" s="242"/>
      <c r="AG87" s="242"/>
      <c r="AH87" s="242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42"/>
      <c r="AT87" s="242"/>
      <c r="AU87" s="242"/>
      <c r="AV87" s="242"/>
      <c r="AW87" s="242"/>
      <c r="AX87" s="225"/>
      <c r="AY87" s="225"/>
      <c r="AZ87" s="225"/>
      <c r="BA87" s="225"/>
      <c r="BB87" s="225"/>
      <c r="BC87" s="26"/>
      <c r="BD87" s="14"/>
      <c r="DK87" s="195"/>
      <c r="DL87" s="195"/>
      <c r="DM87" s="195"/>
      <c r="DN87" s="195"/>
      <c r="DO87" s="195"/>
      <c r="DP87" s="195"/>
      <c r="DQ87" s="195"/>
    </row>
    <row r="88" spans="2:121" ht="9.75" customHeight="1">
      <c r="B88" s="12"/>
      <c r="C88" s="230"/>
      <c r="D88" s="231"/>
      <c r="E88" s="231"/>
      <c r="F88" s="231"/>
      <c r="G88" s="232"/>
      <c r="H88" s="230">
        <v>32</v>
      </c>
      <c r="I88" s="231"/>
      <c r="J88" s="231"/>
      <c r="K88" s="232"/>
      <c r="L88" s="230">
        <v>33</v>
      </c>
      <c r="M88" s="231"/>
      <c r="N88" s="232"/>
      <c r="O88" s="226">
        <v>34</v>
      </c>
      <c r="P88" s="226"/>
      <c r="Q88" s="226"/>
      <c r="R88" s="226"/>
      <c r="S88" s="230">
        <v>35</v>
      </c>
      <c r="T88" s="231"/>
      <c r="U88" s="231"/>
      <c r="V88" s="232"/>
      <c r="W88" s="226">
        <v>36</v>
      </c>
      <c r="X88" s="226"/>
      <c r="Y88" s="226"/>
      <c r="Z88" s="226"/>
      <c r="AA88" s="441">
        <v>37</v>
      </c>
      <c r="AB88" s="442"/>
      <c r="AC88" s="442"/>
      <c r="AD88" s="443"/>
      <c r="AE88" s="441">
        <v>38</v>
      </c>
      <c r="AF88" s="442"/>
      <c r="AG88" s="442"/>
      <c r="AH88" s="443"/>
      <c r="AI88" s="230">
        <v>39</v>
      </c>
      <c r="AJ88" s="231"/>
      <c r="AK88" s="231"/>
      <c r="AL88" s="231"/>
      <c r="AM88" s="232"/>
      <c r="AN88" s="226">
        <v>40</v>
      </c>
      <c r="AO88" s="226"/>
      <c r="AP88" s="226"/>
      <c r="AQ88" s="226"/>
      <c r="AR88" s="226"/>
      <c r="AS88" s="226">
        <v>41</v>
      </c>
      <c r="AT88" s="226"/>
      <c r="AU88" s="226"/>
      <c r="AV88" s="226"/>
      <c r="AW88" s="226"/>
      <c r="AX88" s="226">
        <v>42</v>
      </c>
      <c r="AY88" s="226"/>
      <c r="AZ88" s="226"/>
      <c r="BA88" s="226"/>
      <c r="BB88" s="226"/>
      <c r="BC88" s="26"/>
      <c r="BD88" s="14"/>
      <c r="DK88" s="195"/>
      <c r="DL88" s="195"/>
      <c r="DM88" s="195"/>
      <c r="DN88" s="195"/>
      <c r="DO88" s="195"/>
      <c r="DP88" s="195"/>
      <c r="DQ88" s="195"/>
    </row>
    <row r="89" spans="2:121" ht="12" customHeight="1">
      <c r="B89" s="12"/>
      <c r="C89" s="309" t="s">
        <v>40</v>
      </c>
      <c r="D89" s="309"/>
      <c r="E89" s="309"/>
      <c r="F89" s="309"/>
      <c r="G89" s="309"/>
      <c r="H89" s="233"/>
      <c r="I89" s="233"/>
      <c r="J89" s="233"/>
      <c r="K89" s="233"/>
      <c r="L89" s="233"/>
      <c r="M89" s="233"/>
      <c r="N89" s="233"/>
      <c r="O89" s="227"/>
      <c r="P89" s="228"/>
      <c r="Q89" s="228"/>
      <c r="R89" s="229"/>
      <c r="S89" s="233"/>
      <c r="T89" s="233"/>
      <c r="U89" s="233"/>
      <c r="V89" s="233"/>
      <c r="W89" s="227"/>
      <c r="X89" s="228"/>
      <c r="Y89" s="228"/>
      <c r="Z89" s="229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27"/>
      <c r="AO89" s="228"/>
      <c r="AP89" s="228"/>
      <c r="AQ89" s="228"/>
      <c r="AR89" s="229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6"/>
      <c r="BD89" s="14"/>
      <c r="DK89" s="206"/>
      <c r="DL89" s="195"/>
      <c r="DM89" s="195"/>
      <c r="DN89" s="195"/>
      <c r="DO89" s="195"/>
      <c r="DP89" s="195"/>
      <c r="DQ89" s="195"/>
    </row>
    <row r="90" spans="2:121" ht="12" customHeight="1">
      <c r="B90" s="12"/>
      <c r="C90" s="384" t="s">
        <v>41</v>
      </c>
      <c r="D90" s="384"/>
      <c r="E90" s="384"/>
      <c r="F90" s="384"/>
      <c r="G90" s="384"/>
      <c r="H90" s="241"/>
      <c r="I90" s="241"/>
      <c r="J90" s="241"/>
      <c r="K90" s="241"/>
      <c r="L90" s="241"/>
      <c r="M90" s="241"/>
      <c r="N90" s="241"/>
      <c r="O90" s="219"/>
      <c r="P90" s="220"/>
      <c r="Q90" s="220"/>
      <c r="R90" s="221"/>
      <c r="S90" s="241"/>
      <c r="T90" s="241"/>
      <c r="U90" s="241"/>
      <c r="V90" s="241"/>
      <c r="W90" s="219"/>
      <c r="X90" s="220"/>
      <c r="Y90" s="220"/>
      <c r="Z90" s="22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19"/>
      <c r="AO90" s="220"/>
      <c r="AP90" s="220"/>
      <c r="AQ90" s="220"/>
      <c r="AR90" s="22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6"/>
      <c r="BD90" s="14"/>
      <c r="BL90" s="125"/>
      <c r="BM90" s="125"/>
      <c r="BN90" s="125"/>
      <c r="BO90" s="125"/>
      <c r="DK90" s="195"/>
      <c r="DL90" s="195"/>
      <c r="DM90" s="195"/>
      <c r="DN90" s="195"/>
      <c r="DO90" s="195"/>
      <c r="DP90" s="195"/>
      <c r="DQ90" s="195"/>
    </row>
    <row r="91" spans="2:121" ht="12" customHeight="1">
      <c r="B91" s="12"/>
      <c r="C91" s="384" t="s">
        <v>42</v>
      </c>
      <c r="D91" s="384"/>
      <c r="E91" s="384"/>
      <c r="F91" s="384"/>
      <c r="G91" s="384"/>
      <c r="H91" s="241"/>
      <c r="I91" s="241"/>
      <c r="J91" s="241"/>
      <c r="K91" s="241"/>
      <c r="L91" s="241"/>
      <c r="M91" s="241"/>
      <c r="N91" s="241"/>
      <c r="O91" s="219"/>
      <c r="P91" s="220"/>
      <c r="Q91" s="220"/>
      <c r="R91" s="221"/>
      <c r="S91" s="241"/>
      <c r="T91" s="241"/>
      <c r="U91" s="241"/>
      <c r="V91" s="241"/>
      <c r="W91" s="219"/>
      <c r="X91" s="220"/>
      <c r="Y91" s="220"/>
      <c r="Z91" s="22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19"/>
      <c r="AO91" s="220"/>
      <c r="AP91" s="220"/>
      <c r="AQ91" s="220"/>
      <c r="AR91" s="22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6"/>
      <c r="BD91" s="14"/>
      <c r="BL91" s="125"/>
      <c r="BM91" s="125"/>
      <c r="BN91" s="125"/>
      <c r="BO91" s="125"/>
      <c r="DK91" s="195"/>
      <c r="DL91" s="195"/>
      <c r="DM91" s="195"/>
      <c r="DN91" s="195"/>
      <c r="DO91" s="195"/>
      <c r="DP91" s="195"/>
      <c r="DQ91" s="195"/>
    </row>
    <row r="92" spans="2:67" ht="12" customHeight="1">
      <c r="B92" s="12"/>
      <c r="C92" s="380" t="s">
        <v>37</v>
      </c>
      <c r="D92" s="380"/>
      <c r="E92" s="380"/>
      <c r="F92" s="380"/>
      <c r="G92" s="380"/>
      <c r="H92" s="240"/>
      <c r="I92" s="240"/>
      <c r="J92" s="240"/>
      <c r="K92" s="240"/>
      <c r="L92" s="240"/>
      <c r="M92" s="240"/>
      <c r="N92" s="240"/>
      <c r="O92" s="222"/>
      <c r="P92" s="223"/>
      <c r="Q92" s="223"/>
      <c r="R92" s="224"/>
      <c r="S92" s="240"/>
      <c r="T92" s="240"/>
      <c r="U92" s="240"/>
      <c r="V92" s="240"/>
      <c r="W92" s="222"/>
      <c r="X92" s="223"/>
      <c r="Y92" s="223"/>
      <c r="Z92" s="224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22"/>
      <c r="AO92" s="223"/>
      <c r="AP92" s="223"/>
      <c r="AQ92" s="223"/>
      <c r="AR92" s="224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6"/>
      <c r="BD92" s="14"/>
      <c r="BL92" s="125"/>
      <c r="BM92" s="125"/>
      <c r="BN92" s="125"/>
      <c r="BO92" s="125"/>
    </row>
    <row r="93" spans="2:67" ht="9" customHeight="1">
      <c r="B93" s="12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56"/>
      <c r="AX93" s="56"/>
      <c r="AY93" s="56"/>
      <c r="AZ93" s="56"/>
      <c r="BA93" s="56"/>
      <c r="BB93" s="56"/>
      <c r="BC93" s="56"/>
      <c r="BD93" s="14"/>
      <c r="BL93" s="125"/>
      <c r="BM93" s="125"/>
      <c r="BN93" s="125"/>
      <c r="BO93" s="125"/>
    </row>
    <row r="94" spans="2:67" ht="12" customHeight="1">
      <c r="B94" s="12"/>
      <c r="C94" s="76" t="s">
        <v>129</v>
      </c>
      <c r="D94" s="76"/>
      <c r="E94" s="76"/>
      <c r="F94" s="76"/>
      <c r="G94" s="76"/>
      <c r="H94" s="76"/>
      <c r="I94" s="76"/>
      <c r="J94" s="76"/>
      <c r="K94" s="76"/>
      <c r="L94" s="76"/>
      <c r="M94" s="139"/>
      <c r="N94" s="446"/>
      <c r="O94" s="446"/>
      <c r="P94" s="446"/>
      <c r="Q94" s="446"/>
      <c r="R94" s="446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6"/>
      <c r="AL94" s="446"/>
      <c r="AM94" s="446"/>
      <c r="AN94" s="446"/>
      <c r="AO94" s="446"/>
      <c r="AP94" s="446"/>
      <c r="AQ94" s="446"/>
      <c r="AR94" s="446"/>
      <c r="AS94" s="446"/>
      <c r="AT94" s="446"/>
      <c r="AU94" s="15"/>
      <c r="AV94" s="15"/>
      <c r="AW94" s="15"/>
      <c r="AX94" s="15"/>
      <c r="AY94" s="15"/>
      <c r="AZ94" s="15"/>
      <c r="BA94" s="15"/>
      <c r="BB94" s="15"/>
      <c r="BC94" s="15"/>
      <c r="BD94" s="14"/>
      <c r="BL94" s="125"/>
      <c r="BM94" s="125"/>
      <c r="BN94" s="125"/>
      <c r="BO94" s="125"/>
    </row>
    <row r="95" spans="2:67" ht="12" customHeight="1">
      <c r="B95" s="12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15"/>
      <c r="AO95" s="15"/>
      <c r="AP95" s="15"/>
      <c r="AQ95" s="15"/>
      <c r="AR95" s="15"/>
      <c r="AS95" s="15"/>
      <c r="AT95" s="15"/>
      <c r="AU95" s="15"/>
      <c r="AV95" s="15"/>
      <c r="AW95" s="56"/>
      <c r="AX95" s="56"/>
      <c r="AY95" s="56"/>
      <c r="AZ95" s="56"/>
      <c r="BA95" s="56"/>
      <c r="BB95" s="56"/>
      <c r="BC95" s="56"/>
      <c r="BD95" s="14"/>
      <c r="BL95" s="125"/>
      <c r="BM95" s="125"/>
      <c r="BN95" s="125"/>
      <c r="BO95" s="125"/>
    </row>
    <row r="96" spans="2:67" ht="12" customHeight="1" thickBot="1"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3"/>
      <c r="BL96" s="125"/>
      <c r="BM96" s="125"/>
      <c r="BN96" s="125"/>
      <c r="BO96" s="125"/>
    </row>
    <row r="97" spans="64:67" ht="12" customHeight="1">
      <c r="BL97" s="125"/>
      <c r="BM97" s="125"/>
      <c r="BN97" s="125"/>
      <c r="BO97" s="125"/>
    </row>
    <row r="98" spans="64:67" ht="12" customHeight="1">
      <c r="BL98" s="125"/>
      <c r="BM98" s="125"/>
      <c r="BN98" s="125"/>
      <c r="BO98" s="125"/>
    </row>
    <row r="99" spans="64:67" ht="12" customHeight="1">
      <c r="BL99" s="125"/>
      <c r="BM99" s="125"/>
      <c r="BN99" s="125"/>
      <c r="BO99" s="125"/>
    </row>
    <row r="100" spans="64:67" ht="12" customHeight="1">
      <c r="BL100" s="125"/>
      <c r="BM100" s="125"/>
      <c r="BN100" s="125"/>
      <c r="BO100" s="125"/>
    </row>
    <row r="101" spans="64:67" ht="12" customHeight="1">
      <c r="BL101" s="125"/>
      <c r="BM101" s="125"/>
      <c r="BN101" s="125"/>
      <c r="BO101" s="125"/>
    </row>
    <row r="102" spans="64:67" ht="12" customHeight="1">
      <c r="BL102" s="125"/>
      <c r="BM102" s="125"/>
      <c r="BN102" s="125"/>
      <c r="BO102" s="125"/>
    </row>
    <row r="103" spans="64:67" ht="12" customHeight="1">
      <c r="BL103" s="125"/>
      <c r="BM103" s="125"/>
      <c r="BN103" s="125"/>
      <c r="BO103" s="125"/>
    </row>
    <row r="104" spans="64:68" ht="12" customHeight="1">
      <c r="BL104" s="125"/>
      <c r="BM104" s="125"/>
      <c r="BN104" s="125"/>
      <c r="BO104" s="125"/>
      <c r="BP104" s="182"/>
    </row>
    <row r="105" spans="64:67" ht="12" customHeight="1">
      <c r="BL105" s="125"/>
      <c r="BM105" s="125"/>
      <c r="BN105" s="125"/>
      <c r="BO105" s="125"/>
    </row>
    <row r="106" spans="64:67" ht="12" customHeight="1">
      <c r="BL106" s="125"/>
      <c r="BM106" s="125"/>
      <c r="BN106" s="125"/>
      <c r="BO106" s="125"/>
    </row>
    <row r="107" spans="64:67" ht="12" customHeight="1">
      <c r="BL107" s="125"/>
      <c r="BM107" s="125"/>
      <c r="BN107" s="125"/>
      <c r="BO107" s="125"/>
    </row>
    <row r="108" spans="64:67" ht="12" customHeight="1">
      <c r="BL108" s="125"/>
      <c r="BM108" s="125"/>
      <c r="BN108" s="125"/>
      <c r="BO108" s="125"/>
    </row>
    <row r="109" spans="64:67" ht="12" customHeight="1">
      <c r="BL109" s="125"/>
      <c r="BM109" s="125"/>
      <c r="BN109" s="125"/>
      <c r="BO109" s="125"/>
    </row>
    <row r="110" spans="64:67" ht="12" customHeight="1">
      <c r="BL110" s="125"/>
      <c r="BM110" s="125"/>
      <c r="BN110" s="125"/>
      <c r="BO110" s="125"/>
    </row>
    <row r="111" spans="64:67" ht="12" customHeight="1">
      <c r="BL111" s="125"/>
      <c r="BM111" s="125"/>
      <c r="BN111" s="125"/>
      <c r="BO111" s="125"/>
    </row>
    <row r="112" spans="64:67" ht="12" customHeight="1">
      <c r="BL112" s="125"/>
      <c r="BM112" s="125"/>
      <c r="BN112" s="125"/>
      <c r="BO112" s="125"/>
    </row>
    <row r="113" spans="64:67" ht="12" customHeight="1">
      <c r="BL113" s="125"/>
      <c r="BM113" s="125"/>
      <c r="BN113" s="125"/>
      <c r="BO113" s="125"/>
    </row>
    <row r="114" spans="64:67" ht="12" customHeight="1">
      <c r="BL114" s="125"/>
      <c r="BM114" s="125"/>
      <c r="BN114" s="125"/>
      <c r="BO114" s="125"/>
    </row>
    <row r="115" spans="64:67" ht="12" customHeight="1">
      <c r="BL115" s="125"/>
      <c r="BM115" s="125"/>
      <c r="BN115" s="125"/>
      <c r="BO115" s="125"/>
    </row>
    <row r="116" spans="64:67" ht="12" customHeight="1">
      <c r="BL116" s="125"/>
      <c r="BM116" s="125"/>
      <c r="BN116" s="125"/>
      <c r="BO116" s="125"/>
    </row>
    <row r="117" spans="64:67" ht="12" customHeight="1">
      <c r="BL117" s="125"/>
      <c r="BM117" s="125"/>
      <c r="BN117" s="125"/>
      <c r="BO117" s="125"/>
    </row>
    <row r="118" spans="64:67" ht="12" customHeight="1">
      <c r="BL118" s="125"/>
      <c r="BM118" s="125"/>
      <c r="BN118" s="125"/>
      <c r="BO118" s="125"/>
    </row>
    <row r="119" spans="64:67" ht="12" customHeight="1">
      <c r="BL119" s="125"/>
      <c r="BM119" s="125"/>
      <c r="BN119" s="125"/>
      <c r="BO119" s="125"/>
    </row>
    <row r="120" spans="64:67" ht="12" customHeight="1">
      <c r="BL120" s="125"/>
      <c r="BM120" s="125"/>
      <c r="BN120" s="125"/>
      <c r="BO120" s="125"/>
    </row>
    <row r="121" spans="64:67" ht="12" customHeight="1">
      <c r="BL121" s="125"/>
      <c r="BM121" s="125"/>
      <c r="BN121" s="125"/>
      <c r="BO121" s="125"/>
    </row>
    <row r="122" spans="64:67" ht="12" customHeight="1">
      <c r="BL122" s="125"/>
      <c r="BM122" s="125"/>
      <c r="BN122" s="125"/>
      <c r="BO122" s="125"/>
    </row>
    <row r="123" spans="115:121" s="180" customFormat="1" ht="12" customHeight="1">
      <c r="DK123" s="212"/>
      <c r="DL123" s="212"/>
      <c r="DM123" s="212"/>
      <c r="DN123" s="212"/>
      <c r="DO123" s="212"/>
      <c r="DP123" s="212"/>
      <c r="DQ123" s="212"/>
    </row>
    <row r="124" spans="115:121" s="180" customFormat="1" ht="12" customHeight="1">
      <c r="DK124" s="212"/>
      <c r="DL124" s="212"/>
      <c r="DM124" s="212"/>
      <c r="DN124" s="212"/>
      <c r="DO124" s="212"/>
      <c r="DP124" s="212"/>
      <c r="DQ124" s="212"/>
    </row>
    <row r="125" spans="115:121" s="180" customFormat="1" ht="12" customHeight="1">
      <c r="DK125" s="212"/>
      <c r="DL125" s="212"/>
      <c r="DM125" s="212"/>
      <c r="DN125" s="212"/>
      <c r="DO125" s="212"/>
      <c r="DP125" s="212"/>
      <c r="DQ125" s="212"/>
    </row>
    <row r="126" spans="115:121" s="180" customFormat="1" ht="12" customHeight="1">
      <c r="DK126" s="212"/>
      <c r="DL126" s="212"/>
      <c r="DM126" s="212"/>
      <c r="DN126" s="212"/>
      <c r="DO126" s="212"/>
      <c r="DP126" s="212"/>
      <c r="DQ126" s="212"/>
    </row>
    <row r="127" spans="115:121" s="180" customFormat="1" ht="12" customHeight="1">
      <c r="DK127" s="212"/>
      <c r="DL127" s="212"/>
      <c r="DM127" s="212"/>
      <c r="DN127" s="212"/>
      <c r="DO127" s="212"/>
      <c r="DP127" s="212"/>
      <c r="DQ127" s="212"/>
    </row>
    <row r="128" spans="115:121" s="180" customFormat="1" ht="12" customHeight="1">
      <c r="DK128" s="212"/>
      <c r="DL128" s="212"/>
      <c r="DM128" s="212"/>
      <c r="DN128" s="212"/>
      <c r="DO128" s="212"/>
      <c r="DP128" s="212"/>
      <c r="DQ128" s="212"/>
    </row>
    <row r="129" spans="115:121" s="180" customFormat="1" ht="12" customHeight="1">
      <c r="DK129" s="212"/>
      <c r="DL129" s="212"/>
      <c r="DM129" s="212"/>
      <c r="DN129" s="212"/>
      <c r="DO129" s="212"/>
      <c r="DP129" s="212"/>
      <c r="DQ129" s="212"/>
    </row>
    <row r="130" spans="115:121" s="180" customFormat="1" ht="12" customHeight="1">
      <c r="DK130" s="212"/>
      <c r="DL130" s="212"/>
      <c r="DM130" s="212"/>
      <c r="DN130" s="212"/>
      <c r="DO130" s="212"/>
      <c r="DP130" s="212"/>
      <c r="DQ130" s="212"/>
    </row>
    <row r="131" spans="115:121" s="125" customFormat="1" ht="12" customHeight="1" hidden="1">
      <c r="DK131" s="208"/>
      <c r="DL131" s="208"/>
      <c r="DM131" s="208"/>
      <c r="DN131" s="208"/>
      <c r="DO131" s="208"/>
      <c r="DP131" s="208"/>
      <c r="DQ131" s="208"/>
    </row>
    <row r="132" s="125" customFormat="1" ht="12" customHeight="1" hidden="1"/>
    <row r="133" spans="38:68" s="164" customFormat="1" ht="12" customHeight="1" hidden="1">
      <c r="AL133" s="163"/>
      <c r="AM133" s="163"/>
      <c r="AN133" s="163"/>
      <c r="AO133" s="163">
        <f>IF(AP154&lt;64,0,IF(AO141&lt;=64,0,FIND(" ",AR155,64)))</f>
        <v>0</v>
      </c>
      <c r="AP133" s="163"/>
      <c r="AQ133" s="163"/>
      <c r="AR133" s="163"/>
      <c r="AS133" s="163"/>
      <c r="AT133" s="163"/>
      <c r="AU133" s="163"/>
      <c r="AV133" s="163"/>
      <c r="AW133" s="121"/>
      <c r="BK133" s="120"/>
      <c r="BL133" s="120"/>
      <c r="BM133" s="120"/>
      <c r="BN133" s="120"/>
      <c r="BO133" s="120"/>
      <c r="BP133" s="120"/>
    </row>
    <row r="134" spans="38:68" s="164" customFormat="1" ht="12" customHeight="1" hidden="1">
      <c r="AL134" s="163"/>
      <c r="AM134" s="163"/>
      <c r="AN134" s="163"/>
      <c r="AO134" s="163">
        <f>IF(AO138="","",IF(AO135&lt;=AO136,"",MID(AR155,AO136+1,43)))</f>
      </c>
      <c r="AP134" s="163"/>
      <c r="AQ134" s="163"/>
      <c r="AR134" s="163"/>
      <c r="AS134" s="163"/>
      <c r="AT134" s="163"/>
      <c r="AU134" s="163"/>
      <c r="AV134" s="163"/>
      <c r="AW134" s="121"/>
      <c r="BK134" s="120"/>
      <c r="BL134" s="120"/>
      <c r="BM134" s="120"/>
      <c r="BN134" s="120"/>
      <c r="BO134" s="120"/>
      <c r="BP134" s="120"/>
    </row>
    <row r="135" spans="38:68" s="164" customFormat="1" ht="12" customHeight="1" hidden="1">
      <c r="AL135" s="163"/>
      <c r="AM135" s="163"/>
      <c r="AN135" s="163"/>
      <c r="AO135" s="163">
        <f>LEN(AR155)</f>
        <v>30</v>
      </c>
      <c r="AP135" s="163"/>
      <c r="AQ135" s="163"/>
      <c r="AR135" s="163"/>
      <c r="AS135" s="163"/>
      <c r="AT135" s="163"/>
      <c r="AU135" s="163"/>
      <c r="AV135" s="163"/>
      <c r="AW135" s="121"/>
      <c r="BK135" s="120"/>
      <c r="BL135" s="120"/>
      <c r="BM135" s="120"/>
      <c r="BN135" s="120"/>
      <c r="BO135" s="120"/>
      <c r="BP135" s="120"/>
    </row>
    <row r="136" spans="38:68" s="164" customFormat="1" ht="12" customHeight="1" hidden="1">
      <c r="AL136" s="163"/>
      <c r="AM136" s="163"/>
      <c r="AN136" s="163"/>
      <c r="AO136" s="163" t="e">
        <f>LEN(AO140)+LEN(AO138)+1</f>
        <v>#VALUE!</v>
      </c>
      <c r="AP136" s="163" t="e">
        <f>LEN(AO140)</f>
        <v>#VALUE!</v>
      </c>
      <c r="AQ136" s="163"/>
      <c r="AR136" s="163"/>
      <c r="AS136" s="163"/>
      <c r="AT136" s="163"/>
      <c r="AU136" s="163"/>
      <c r="AV136" s="163"/>
      <c r="AW136" s="121"/>
      <c r="BK136" s="120"/>
      <c r="BL136" s="120"/>
      <c r="BM136" s="120"/>
      <c r="BN136" s="120"/>
      <c r="BO136" s="120"/>
      <c r="BP136" s="120"/>
    </row>
    <row r="137" spans="38:68" s="164" customFormat="1" ht="12" customHeight="1" hidden="1">
      <c r="AL137" s="163"/>
      <c r="AM137" s="163"/>
      <c r="AN137" s="163"/>
      <c r="AO137" s="163" t="e">
        <f>AO136-AO139</f>
        <v>#VALUE!</v>
      </c>
      <c r="AP137" s="165"/>
      <c r="AQ137" s="163"/>
      <c r="AR137" s="163" t="s">
        <v>201</v>
      </c>
      <c r="AS137" s="163"/>
      <c r="AT137" s="163"/>
      <c r="AU137" s="163"/>
      <c r="AV137" s="163"/>
      <c r="AW137" s="121"/>
      <c r="BK137" s="120"/>
      <c r="BL137" s="120"/>
      <c r="BM137" s="120"/>
      <c r="BN137" s="120"/>
      <c r="BO137" s="120"/>
      <c r="BP137" s="120"/>
    </row>
    <row r="138" spans="38:68" s="164" customFormat="1" ht="12" customHeight="1" hidden="1">
      <c r="AL138" s="163"/>
      <c r="AM138" s="163">
        <f>IF(AM141&lt;=AM142,"",MID(AR155,AM139+1,100))</f>
      </c>
      <c r="AN138" s="163"/>
      <c r="AO138" s="163">
        <f>IF(AO141&lt;=AO142,"",IF(AO133=0,MID(AR155,AO139+1,39),MID(AR155,AO139+1,AO133-AO139)))</f>
      </c>
      <c r="AP138" s="165"/>
      <c r="AQ138" s="163"/>
      <c r="AR138" s="166">
        <f>INT(AS138)</f>
        <v>58008</v>
      </c>
      <c r="AS138" s="166">
        <f>ROUND(AG50,2)</f>
        <v>58008.8</v>
      </c>
      <c r="AT138" s="163"/>
      <c r="AU138" s="163"/>
      <c r="AV138" s="163"/>
      <c r="AW138" s="121"/>
      <c r="BK138" s="120"/>
      <c r="BL138" s="120"/>
      <c r="BM138" s="120"/>
      <c r="BN138" s="120"/>
      <c r="BO138" s="120"/>
      <c r="BP138" s="120"/>
    </row>
    <row r="139" spans="38:68" s="164" customFormat="1" ht="12" customHeight="1" hidden="1">
      <c r="AL139" s="163"/>
      <c r="AM139" s="163" t="e">
        <f>FIND(" ",AR155,45)</f>
        <v>#VALUE!</v>
      </c>
      <c r="AN139" s="163"/>
      <c r="AO139" s="163" t="e">
        <f>FIND(" ",AR155,25)</f>
        <v>#VALUE!</v>
      </c>
      <c r="AP139" s="163"/>
      <c r="AQ139" s="163">
        <v>1</v>
      </c>
      <c r="AR139" s="167">
        <f>AR138-INT(AR138/10)*10</f>
        <v>8</v>
      </c>
      <c r="AS139" s="168">
        <f>ROUND((AS138-AR138)*100,0)</f>
        <v>80</v>
      </c>
      <c r="AT139" s="163"/>
      <c r="AU139" s="163"/>
      <c r="AV139" s="163"/>
      <c r="AW139" s="121"/>
      <c r="BK139" s="120"/>
      <c r="BL139" s="120"/>
      <c r="BM139" s="120"/>
      <c r="BN139" s="120"/>
      <c r="BO139" s="120"/>
      <c r="BP139" s="120"/>
    </row>
    <row r="140" spans="38:68" s="164" customFormat="1" ht="12" customHeight="1" hidden="1">
      <c r="AL140" s="163"/>
      <c r="AM140" s="163" t="str">
        <f>IF(AM141&gt;AM142,LEFT(AR155,AM139-1),LEFT(AR155,50))</f>
        <v> Пятьдесят восемь тысяч восемь</v>
      </c>
      <c r="AN140" s="163"/>
      <c r="AO140" s="163" t="e">
        <f>IF(AO141&gt;=AO142,LEFT(AR155,AO139-1),LEFT(AR155,30))</f>
        <v>#VALUE!</v>
      </c>
      <c r="AP140" s="163"/>
      <c r="AQ140" s="163">
        <v>2</v>
      </c>
      <c r="AR140" s="169">
        <f>IF(AND(AR139+AR141&gt;=11,AR139+AR141&lt;=19),AR139+AR141,0)</f>
        <v>0</v>
      </c>
      <c r="AS140" s="169">
        <f>INT(AS139)</f>
        <v>80</v>
      </c>
      <c r="AT140" s="163"/>
      <c r="AU140" s="163"/>
      <c r="AV140" s="163"/>
      <c r="AW140" s="121"/>
      <c r="BK140" s="120"/>
      <c r="BL140" s="120"/>
      <c r="BM140" s="120"/>
      <c r="BN140" s="120"/>
      <c r="BO140" s="120"/>
      <c r="BP140" s="120"/>
    </row>
    <row r="141" spans="38:68" s="164" customFormat="1" ht="12" customHeight="1" hidden="1">
      <c r="AL141" s="163"/>
      <c r="AM141" s="163">
        <f>LEN(AR155)</f>
        <v>30</v>
      </c>
      <c r="AN141" s="163"/>
      <c r="AO141" s="163">
        <f>LEN(AR155)</f>
        <v>30</v>
      </c>
      <c r="AP141" s="165"/>
      <c r="AQ141" s="163">
        <v>3</v>
      </c>
      <c r="AR141" s="169">
        <f>AR138-INT(AR138/100)*100-AR139</f>
        <v>0</v>
      </c>
      <c r="AS141" s="169">
        <f>IF(AS140=0,"",AS140-INT(AS140/10)*10)</f>
        <v>0</v>
      </c>
      <c r="AT141" s="163"/>
      <c r="AU141" s="163"/>
      <c r="AV141" s="163"/>
      <c r="AW141" s="121"/>
      <c r="BK141" s="120"/>
      <c r="BL141" s="120"/>
      <c r="BM141" s="120"/>
      <c r="BN141" s="120"/>
      <c r="BO141" s="120"/>
      <c r="BP141" s="120"/>
    </row>
    <row r="142" spans="38:68" s="164" customFormat="1" ht="12" customHeight="1" hidden="1">
      <c r="AL142" s="163"/>
      <c r="AM142" s="163">
        <v>50</v>
      </c>
      <c r="AN142" s="163"/>
      <c r="AO142" s="163">
        <v>30</v>
      </c>
      <c r="AP142" s="165"/>
      <c r="AQ142" s="163">
        <v>4</v>
      </c>
      <c r="AR142" s="169">
        <f>AR138-INT(AR138/1000)*1000-AR141-AR139</f>
        <v>0</v>
      </c>
      <c r="AS142" s="170">
        <f>IF(AS140=0,"",AS140)</f>
        <v>80</v>
      </c>
      <c r="AT142" s="163">
        <v>0</v>
      </c>
      <c r="AU142" s="163" t="s">
        <v>164</v>
      </c>
      <c r="AV142" s="163"/>
      <c r="AW142" s="121"/>
      <c r="BK142" s="120"/>
      <c r="BL142" s="120"/>
      <c r="BM142" s="120"/>
      <c r="BN142" s="120"/>
      <c r="BO142" s="120"/>
      <c r="BP142" s="120"/>
    </row>
    <row r="143" spans="38:68" s="164" customFormat="1" ht="12" customHeight="1" hidden="1">
      <c r="AL143" s="163"/>
      <c r="AM143" s="163"/>
      <c r="AN143" s="163"/>
      <c r="AO143" s="163"/>
      <c r="AP143" s="163"/>
      <c r="AQ143" s="163">
        <v>5</v>
      </c>
      <c r="AR143" s="169">
        <f>AR138-INT(AR138/10000)*10000-AR141-AR139-AR142</f>
        <v>8000</v>
      </c>
      <c r="AS143" s="163">
        <f>AR143/1000</f>
        <v>8</v>
      </c>
      <c r="AT143" s="163"/>
      <c r="AU143" s="163"/>
      <c r="AV143" s="163"/>
      <c r="AW143" s="121"/>
      <c r="BK143" s="120"/>
      <c r="BL143" s="120"/>
      <c r="BM143" s="120"/>
      <c r="BN143" s="120"/>
      <c r="BO143" s="120"/>
      <c r="BP143" s="120"/>
    </row>
    <row r="144" spans="38:68" s="164" customFormat="1" ht="12" customHeight="1" hidden="1">
      <c r="AL144" s="163"/>
      <c r="AM144" s="163"/>
      <c r="AN144" s="163"/>
      <c r="AO144" s="163"/>
      <c r="AP144" s="163"/>
      <c r="AQ144" s="163">
        <v>6</v>
      </c>
      <c r="AR144" s="163"/>
      <c r="AS144" s="169">
        <f>IF(AND(AS143+AS145&gt;=11,AS143+AS145&lt;=19),AS143+AS145,0)</f>
        <v>0</v>
      </c>
      <c r="AT144" s="163"/>
      <c r="AU144" s="163"/>
      <c r="AV144" s="163"/>
      <c r="AW144" s="121"/>
      <c r="BK144" s="120"/>
      <c r="BL144" s="120"/>
      <c r="BM144" s="120"/>
      <c r="BN144" s="120"/>
      <c r="BO144" s="120"/>
      <c r="BP144" s="120"/>
    </row>
    <row r="145" spans="38:68" s="164" customFormat="1" ht="12" customHeight="1" hidden="1">
      <c r="AL145" s="163"/>
      <c r="AM145" s="163"/>
      <c r="AN145" s="163"/>
      <c r="AO145" s="163"/>
      <c r="AP145" s="163"/>
      <c r="AQ145" s="163">
        <v>7</v>
      </c>
      <c r="AR145" s="169">
        <f>AR138-INT(AR138/100000)*100000-AR141-AR139-AR142-AR143</f>
        <v>50000</v>
      </c>
      <c r="AS145" s="163">
        <f>AR145/1000</f>
        <v>50</v>
      </c>
      <c r="AT145" s="163"/>
      <c r="AU145" s="163"/>
      <c r="AV145" s="163"/>
      <c r="AW145" s="121"/>
      <c r="BK145" s="120"/>
      <c r="BL145" s="120"/>
      <c r="BM145" s="120"/>
      <c r="BN145" s="120"/>
      <c r="BO145" s="120"/>
      <c r="BP145" s="120"/>
    </row>
    <row r="146" spans="38:68" s="164" customFormat="1" ht="12" customHeight="1" hidden="1">
      <c r="AL146" s="163"/>
      <c r="AM146" s="163"/>
      <c r="AN146" s="163"/>
      <c r="AO146" s="163"/>
      <c r="AP146" s="163"/>
      <c r="AQ146" s="163">
        <v>8</v>
      </c>
      <c r="AR146" s="169">
        <f>AR138-INT(AR138/1000000)*1000000-AR141-AR139-AR142-AR143-AR145</f>
        <v>0</v>
      </c>
      <c r="AS146" s="163">
        <f>AR146/1000</f>
        <v>0</v>
      </c>
      <c r="AT146" s="163"/>
      <c r="AU146" s="163"/>
      <c r="AV146" s="163"/>
      <c r="AW146" s="121"/>
      <c r="BK146" s="120"/>
      <c r="BL146" s="120"/>
      <c r="BM146" s="120"/>
      <c r="BN146" s="120"/>
      <c r="BO146" s="120"/>
      <c r="BP146" s="120"/>
    </row>
    <row r="147" spans="38:68" s="164" customFormat="1" ht="12" customHeight="1" hidden="1">
      <c r="AL147" s="163"/>
      <c r="AM147" s="163"/>
      <c r="AN147" s="163"/>
      <c r="AO147" s="163"/>
      <c r="AP147" s="163"/>
      <c r="AQ147" s="163">
        <v>9</v>
      </c>
      <c r="AR147" s="169">
        <f>AR138-INT(AR138/10000000)*10000000-AR141-AR139-AR142-AR143-AR145-AR146</f>
        <v>0</v>
      </c>
      <c r="AS147" s="163">
        <f>AR147/1000000</f>
        <v>0</v>
      </c>
      <c r="AT147" s="163"/>
      <c r="AU147" s="163"/>
      <c r="AV147" s="163"/>
      <c r="AW147" s="121"/>
      <c r="BK147" s="120"/>
      <c r="BL147" s="120"/>
      <c r="BM147" s="120"/>
      <c r="BN147" s="120"/>
      <c r="BO147" s="120"/>
      <c r="BP147" s="120"/>
    </row>
    <row r="148" spans="38:68" s="164" customFormat="1" ht="12" customHeight="1" hidden="1">
      <c r="AL148" s="163"/>
      <c r="AM148" s="163"/>
      <c r="AN148" s="163"/>
      <c r="AO148" s="163"/>
      <c r="AP148" s="163"/>
      <c r="AQ148" s="163">
        <v>10</v>
      </c>
      <c r="AR148" s="163"/>
      <c r="AS148" s="169">
        <f>IF(AND(AS147+AS149&gt;=11,AS147+AS149&lt;=19),AS147+AS149,0)</f>
        <v>0</v>
      </c>
      <c r="AT148" s="163"/>
      <c r="AU148" s="163"/>
      <c r="AV148" s="163"/>
      <c r="AW148" s="121"/>
      <c r="BK148" s="120"/>
      <c r="BL148" s="120"/>
      <c r="BM148" s="120"/>
      <c r="BN148" s="120"/>
      <c r="BO148" s="120"/>
      <c r="BP148" s="120"/>
    </row>
    <row r="149" spans="38:68" s="164" customFormat="1" ht="12" customHeight="1" hidden="1">
      <c r="AL149" s="163"/>
      <c r="AM149" s="163"/>
      <c r="AN149" s="163"/>
      <c r="AO149" s="163"/>
      <c r="AP149" s="163"/>
      <c r="AQ149" s="163">
        <v>11</v>
      </c>
      <c r="AR149" s="169">
        <f>AR138-INT(AR138/100000000)*100000000-AR141-AR139-AR142-AR143-AR145-AR146-AR147</f>
        <v>0</v>
      </c>
      <c r="AS149" s="163">
        <f>AR149/1000000</f>
        <v>0</v>
      </c>
      <c r="AT149" s="163"/>
      <c r="AU149" s="163"/>
      <c r="AV149" s="163"/>
      <c r="AW149" s="121"/>
      <c r="BK149" s="120"/>
      <c r="BL149" s="120"/>
      <c r="BM149" s="120"/>
      <c r="BN149" s="120"/>
      <c r="BO149" s="120"/>
      <c r="BP149" s="120"/>
    </row>
    <row r="150" spans="38:68" s="164" customFormat="1" ht="12" customHeight="1" hidden="1">
      <c r="AL150" s="163"/>
      <c r="AM150" s="163"/>
      <c r="AN150" s="163"/>
      <c r="AO150" s="163"/>
      <c r="AP150" s="163"/>
      <c r="AQ150" s="163">
        <v>12</v>
      </c>
      <c r="AR150" s="169">
        <f>AR138-INT(AR138/1000000000)*1000000000-AR141-AR139-AR142-AR143-AR145-AR146-AR147-AR149</f>
        <v>0</v>
      </c>
      <c r="AS150" s="163">
        <f>AR150/1000000</f>
        <v>0</v>
      </c>
      <c r="AT150" s="163"/>
      <c r="AU150" s="163"/>
      <c r="AV150" s="163"/>
      <c r="AW150" s="121"/>
      <c r="BK150" s="120"/>
      <c r="BL150" s="120"/>
      <c r="BM150" s="120"/>
      <c r="BN150" s="120"/>
      <c r="BO150" s="120"/>
      <c r="BP150" s="120"/>
    </row>
    <row r="151" spans="38:68" s="164" customFormat="1" ht="12" customHeight="1" hidden="1">
      <c r="AL151" s="163"/>
      <c r="AM151" s="163"/>
      <c r="AN151" s="163"/>
      <c r="AO151" s="163"/>
      <c r="AP151" s="163"/>
      <c r="AQ151" s="163">
        <v>13</v>
      </c>
      <c r="AR151" s="169">
        <f>AR138-INT(AR138/10000000000)*10000000000-AR141-AR139-AR142-AR143-AR145-AR146-AR147-AR149-AR150</f>
        <v>0</v>
      </c>
      <c r="AS151" s="163">
        <f>AR151/1000000000</f>
        <v>0</v>
      </c>
      <c r="AT151" s="163"/>
      <c r="AU151" s="163"/>
      <c r="AV151" s="163"/>
      <c r="AW151" s="121"/>
      <c r="BK151" s="120"/>
      <c r="BL151" s="120"/>
      <c r="BM151" s="120"/>
      <c r="BN151" s="120"/>
      <c r="BO151" s="120"/>
      <c r="BP151" s="120"/>
    </row>
    <row r="152" spans="38:68" s="164" customFormat="1" ht="12" customHeight="1" hidden="1">
      <c r="AL152" s="163"/>
      <c r="AM152" s="163"/>
      <c r="AN152" s="163"/>
      <c r="AO152" s="163"/>
      <c r="AP152" s="163"/>
      <c r="AQ152" s="163">
        <v>14</v>
      </c>
      <c r="AR152" s="169"/>
      <c r="AS152" s="169">
        <f>IF(AND(AS151+AS153&gt;=11,AS151+AS153&lt;=19),AS151+AS153,0)</f>
        <v>0</v>
      </c>
      <c r="AT152" s="163"/>
      <c r="AU152" s="163"/>
      <c r="AV152" s="163"/>
      <c r="AW152" s="121"/>
      <c r="BK152" s="120"/>
      <c r="BL152" s="120"/>
      <c r="BM152" s="120"/>
      <c r="BN152" s="120"/>
      <c r="BO152" s="120"/>
      <c r="BP152" s="120"/>
    </row>
    <row r="153" spans="38:68" s="164" customFormat="1" ht="12" customHeight="1" hidden="1">
      <c r="AL153" s="163"/>
      <c r="AM153" s="163"/>
      <c r="AN153" s="163"/>
      <c r="AO153" s="163"/>
      <c r="AP153" s="163"/>
      <c r="AQ153" s="163">
        <v>15</v>
      </c>
      <c r="AR153" s="169">
        <f>AR138-INT(AR138/100000000000)*100000000000-AR141-AR139-AR142-AR143-AR145-AR146-AR147-AR149-AR150-AR151</f>
        <v>0</v>
      </c>
      <c r="AS153" s="163">
        <f>AR153/1000000000</f>
        <v>0</v>
      </c>
      <c r="AT153" s="163"/>
      <c r="AU153" s="163"/>
      <c r="AV153" s="163"/>
      <c r="AW153" s="121"/>
      <c r="BK153" s="120"/>
      <c r="BL153" s="120"/>
      <c r="BM153" s="120"/>
      <c r="BN153" s="120"/>
      <c r="BO153" s="120"/>
      <c r="BP153" s="120"/>
    </row>
    <row r="154" spans="38:68" s="164" customFormat="1" ht="12" customHeight="1" hidden="1">
      <c r="AL154" s="163"/>
      <c r="AM154" s="163"/>
      <c r="AN154" s="163"/>
      <c r="AO154" s="163"/>
      <c r="AP154" s="163">
        <f>SEARCH("@",SUBSTITUTE(AR155," ","@",LEN(AR155)-LEN(SUBSTITUTE(AR155," ",""))))</f>
        <v>24</v>
      </c>
      <c r="AQ154" s="163">
        <v>16</v>
      </c>
      <c r="AR154" s="169">
        <f>AR138-INT(AR138/1000000000000)*1000000000000-AR141-AR139-AR142-AR143-AR145-AR146-AR147-AR149-AR150-AR151-AR153</f>
        <v>0</v>
      </c>
      <c r="AS154" s="163">
        <f>AR154/1000000000</f>
        <v>0</v>
      </c>
      <c r="AT154" s="163"/>
      <c r="AU154" s="163"/>
      <c r="AV154" s="163"/>
      <c r="AW154" s="121"/>
      <c r="BK154" s="120"/>
      <c r="BL154" s="120"/>
      <c r="BM154" s="120"/>
      <c r="BN154" s="120"/>
      <c r="BO154" s="120"/>
      <c r="BP154" s="120"/>
    </row>
    <row r="155" spans="38:68" s="164" customFormat="1" ht="12" customHeight="1" hidden="1">
      <c r="AL155" s="163"/>
      <c r="AM155" s="163"/>
      <c r="AN155" s="163"/>
      <c r="AO155" s="163"/>
      <c r="AP155" s="163"/>
      <c r="AQ155" s="163"/>
      <c r="AR155" s="171" t="str">
        <f>IF(AS138=0,"",AP171&amp;AP170&amp;AP169&amp;AP168&amp;AU168&amp;AP167&amp;AP166&amp;AP165&amp;AP164&amp;AU164&amp;AP163&amp;AP162&amp;AP161&amp;AP160&amp;AU160&amp;AP159&amp;AP158&amp;AP157&amp;AP156)</f>
        <v> Пятьдесят восемь тысяч восемь</v>
      </c>
      <c r="AS155" s="163"/>
      <c r="AT155" s="163"/>
      <c r="AU155" s="163"/>
      <c r="AV155" s="163"/>
      <c r="AW155" s="121"/>
      <c r="BK155" s="120"/>
      <c r="BL155" s="120"/>
      <c r="BM155" s="120"/>
      <c r="BN155" s="120"/>
      <c r="BO155" s="120"/>
      <c r="BP155" s="120"/>
    </row>
    <row r="156" spans="38:68" s="164" customFormat="1" ht="12" customHeight="1" hidden="1">
      <c r="AL156" s="163" t="s">
        <v>165</v>
      </c>
      <c r="AM156" s="172">
        <f>IF(AR140&gt;0,"",IF(AR139=1,AN156,""))</f>
      </c>
      <c r="AN156" s="173" t="s">
        <v>166</v>
      </c>
      <c r="AO156" s="163"/>
      <c r="AP156" s="163" t="str">
        <f>IF(SUM(AR140:AR154)=0,PROPER(AR156),AR156)</f>
        <v> восемь</v>
      </c>
      <c r="AQ156" s="163">
        <v>1</v>
      </c>
      <c r="AR156" s="171" t="str">
        <f>IF(AND(AR140&lt;20,AR140&gt;10),"",AS156&amp;AT156)</f>
        <v> восемь</v>
      </c>
      <c r="AS156" s="163">
        <f>IF(AR139=1," один",IF(AR139=2," два",IF(AR139=3," три",IF(AR139=4," четыре",IF(AR139=5," пять",IF(AR139=6," шесть",IF(AR139=7," семь","")))))))</f>
      </c>
      <c r="AT156" s="163" t="str">
        <f>IF(AR139=8," восемь",IF(AR139=9," девять",""))</f>
        <v> восемь</v>
      </c>
      <c r="AU156" s="163"/>
      <c r="AV156" s="163"/>
      <c r="AW156" s="121"/>
      <c r="BK156" s="120"/>
      <c r="BL156" s="120"/>
      <c r="BM156" s="120"/>
      <c r="BN156" s="120"/>
      <c r="BO156" s="120"/>
      <c r="BP156" s="120"/>
    </row>
    <row r="157" spans="38:68" s="164" customFormat="1" ht="12" customHeight="1" hidden="1">
      <c r="AL157" s="163" t="s">
        <v>167</v>
      </c>
      <c r="AM157" s="174">
        <f>IF(AR140&gt;0,"",IF(OR(AR139=2,AR139=3,AR139=4),AN157,""))</f>
      </c>
      <c r="AN157" s="175" t="s">
        <v>168</v>
      </c>
      <c r="AO157" s="163"/>
      <c r="AP157" s="163">
        <f>IF(SUM(AR142:AR154)=0,PROPER(AR157),AR157)</f>
      </c>
      <c r="AQ157" s="163">
        <v>2</v>
      </c>
      <c r="AR157" s="171">
        <f>AS157&amp;AT157</f>
      </c>
      <c r="AS157" s="163">
        <f>IF(AR140=11," одиннадцать",IF(AR140=12," двенадцать",IF(AR140=13," тринадцать",IF(AR140=14," четырнадцать",IF(AR140=15," пятнадцать",IF(AR140=16," шестнадцать",IF(AR140=17," семнадцать","")))))))</f>
      </c>
      <c r="AT157" s="163">
        <f>IF(AR140=18," восемнадцать",IF(AR140=19," девятнадцать",""))</f>
      </c>
      <c r="AU157" s="163"/>
      <c r="AV157" s="163"/>
      <c r="AW157" s="121"/>
      <c r="BK157" s="120"/>
      <c r="BL157" s="120"/>
      <c r="BM157" s="120"/>
      <c r="BN157" s="120"/>
      <c r="BO157" s="120"/>
      <c r="BP157" s="120"/>
    </row>
    <row r="158" spans="38:68" s="164" customFormat="1" ht="12" customHeight="1" hidden="1">
      <c r="AL158" s="163" t="s">
        <v>169</v>
      </c>
      <c r="AM158" s="174" t="str">
        <f>IF(AR140&gt;0,"",IF(OR(AR139=0,AR139=5,AR139=6,AR139=7,AR139=8,AR139=9),AN158,""))</f>
        <v> белорусских рублей </v>
      </c>
      <c r="AN158" s="175" t="s">
        <v>170</v>
      </c>
      <c r="AO158" s="163"/>
      <c r="AP158" s="163">
        <f>IF(SUM(AR142:AR154)=0,PROPER(AR158),AR158)</f>
      </c>
      <c r="AQ158" s="163">
        <v>3</v>
      </c>
      <c r="AR158" s="171">
        <f>IF(AND(AR140&lt;20,AR140&gt;10),"",AS158&amp;AT158)</f>
      </c>
      <c r="AS158" s="163">
        <f>IF(AR141=10," десять",IF(AR141=20," двадцать",IF(AR141=30," тридцать",IF(AR141=40," сорок",IF(AR141=50," пятьдесят",IF(AR141=60," шестьдесят",""))))))</f>
      </c>
      <c r="AT158" s="163">
        <f>IF(AR141=70," семьдесят",IF(AR141=80," восемьдесят",IF(AR141=90," девяносто","")))</f>
      </c>
      <c r="AU158" s="163"/>
      <c r="AV158" s="163"/>
      <c r="AW158" s="121"/>
      <c r="BK158" s="120"/>
      <c r="BL158" s="120"/>
      <c r="BM158" s="120"/>
      <c r="BN158" s="120"/>
      <c r="BO158" s="120"/>
      <c r="BP158" s="120"/>
    </row>
    <row r="159" spans="38:68" s="164" customFormat="1" ht="12" customHeight="1" hidden="1">
      <c r="AL159" s="163"/>
      <c r="AM159" s="163">
        <f>IF(AND(AR140&gt;=11,AR140&lt;=19),AN158,"")</f>
      </c>
      <c r="AN159" s="175"/>
      <c r="AO159" s="163"/>
      <c r="AP159" s="163">
        <f>IF(SUM(AS143:AS154)=0,PROPER(AR159),AR159)</f>
      </c>
      <c r="AQ159" s="163">
        <v>4</v>
      </c>
      <c r="AR159" s="171">
        <f>AS159&amp;AT159</f>
      </c>
      <c r="AS159" s="163">
        <f>IF(AR142=100," сто",IF(AR142=200," двести",IF(AR142=300," триста",IF(AR142=400," четыреста",IF(AR142=500," пятьсот",IF(AR142=600," шестьсот",""))))))</f>
      </c>
      <c r="AT159" s="163">
        <f>IF(AR142=700," семьсот",IF(AR142=800," восемьсот",IF(AR142=900," девятьсот","")))</f>
      </c>
      <c r="AU159" s="163"/>
      <c r="AV159" s="163"/>
      <c r="AW159" s="121"/>
      <c r="BK159" s="120"/>
      <c r="BL159" s="120"/>
      <c r="BM159" s="120"/>
      <c r="BN159" s="120"/>
      <c r="BO159" s="120"/>
      <c r="BP159" s="120"/>
    </row>
    <row r="160" spans="38:68" s="164" customFormat="1" ht="12" customHeight="1" hidden="1">
      <c r="AL160" s="163"/>
      <c r="AM160" s="173" t="str">
        <f>AM156&amp;AM157&amp;AM158&amp;AM159</f>
        <v> белорусских рублей </v>
      </c>
      <c r="AN160" s="173"/>
      <c r="AO160" s="163"/>
      <c r="AP160" s="163" t="str">
        <f>IF(SUM(AS144:AS154)=0,PROPER(AR160),AR160)</f>
        <v> восемь</v>
      </c>
      <c r="AQ160" s="163">
        <v>5</v>
      </c>
      <c r="AR160" s="171" t="str">
        <f>IF(AND(AS144&lt;20,AS144&gt;10),"",AS160&amp;AT160)</f>
        <v> восемь</v>
      </c>
      <c r="AS160" s="163">
        <f>IF(AS143=1," одна",IF(AS143=2," две",IF(AS143=3," три",IF(AS143=4," четыре",IF(AS143=5," пять",IF(AS143=6," шесть",IF(AS143=7," семь","")))))))</f>
      </c>
      <c r="AT160" s="163" t="str">
        <f>IF(AS143=8," восемь",IF(AS143=9," девять",""))</f>
        <v> восемь</v>
      </c>
      <c r="AU160" s="163" t="str">
        <f>IF(AND(AR160="",AR161="",AR162="",AR163=""),"",IF(AND(AS144&lt;20,AS144&gt;10)," тысяч",IF(AS143=1," тысяча",IF(OR(AS143=2,AS143=3,AS143=4)," тысячи"," тысяч"))))</f>
        <v> тысяч</v>
      </c>
      <c r="AV160" s="163"/>
      <c r="AW160" s="121"/>
      <c r="BK160" s="120"/>
      <c r="BL160" s="120"/>
      <c r="BM160" s="120"/>
      <c r="BN160" s="120"/>
      <c r="BO160" s="120"/>
      <c r="BP160" s="120"/>
    </row>
    <row r="161" spans="38:68" s="164" customFormat="1" ht="12" customHeight="1" hidden="1">
      <c r="AL161" s="163"/>
      <c r="AM161" s="172"/>
      <c r="AN161" s="173"/>
      <c r="AO161" s="163"/>
      <c r="AP161" s="163">
        <f>IF(SUM(AS146:AS154)=0,PROPER(AR161),AR161)</f>
      </c>
      <c r="AQ161" s="163">
        <v>6</v>
      </c>
      <c r="AR161" s="171">
        <f>AS161&amp;AT161</f>
      </c>
      <c r="AS161" s="163">
        <f>IF(AS144=11," одиннадцать",IF(AS144=12," двенадцать",IF(AS144=13," тринадцать",IF(AS144=14," четырнадцать",IF(AS144=15," пятнадцать",IF(AS144=16," шестнадцать",IF(AS144=17," семнадцать","")))))))</f>
      </c>
      <c r="AT161" s="163">
        <f>IF(AS144=18," восемнадцать",IF(AS144=19," девятнадцать",""))</f>
      </c>
      <c r="AU161" s="163"/>
      <c r="AV161" s="163"/>
      <c r="AW161" s="121"/>
      <c r="BK161" s="120"/>
      <c r="BL161" s="120"/>
      <c r="BM161" s="120"/>
      <c r="BN161" s="120"/>
      <c r="BO161" s="120"/>
      <c r="BP161" s="120"/>
    </row>
    <row r="162" spans="38:68" s="164" customFormat="1" ht="12" customHeight="1" hidden="1">
      <c r="AL162" s="163"/>
      <c r="AM162" s="163"/>
      <c r="AN162" s="163"/>
      <c r="AO162" s="163"/>
      <c r="AP162" s="163" t="str">
        <f>IF(SUM(AS146:AS154)=0,PROPER(AR162),AR162)</f>
        <v> Пятьдесят</v>
      </c>
      <c r="AQ162" s="163">
        <v>7</v>
      </c>
      <c r="AR162" s="171" t="str">
        <f>IF(AND(AS144&lt;20,AS144&gt;10),"",AS162&amp;AT162)</f>
        <v> пятьдесят</v>
      </c>
      <c r="AS162" s="163" t="str">
        <f>IF(AS145=10," десять",IF(AS145=20," двадцать",IF(AS145=30," тридцать",IF(AS145=40," сорок",IF(AS145=50," пятьдесят",IF(AS145=60," шестьдесят",""))))))</f>
        <v> пятьдесят</v>
      </c>
      <c r="AT162" s="163">
        <f>IF(AS145=70," семьдесят",IF(AS145=80," восемьдесят",IF(AS145=90," девяносто","")))</f>
      </c>
      <c r="AU162" s="163"/>
      <c r="AV162" s="163"/>
      <c r="AW162" s="121"/>
      <c r="BK162" s="120"/>
      <c r="BL162" s="120"/>
      <c r="BM162" s="120"/>
      <c r="BN162" s="120"/>
      <c r="BO162" s="120"/>
      <c r="BP162" s="120"/>
    </row>
    <row r="163" spans="38:68" s="164" customFormat="1" ht="12" customHeight="1" hidden="1">
      <c r="AL163" s="163"/>
      <c r="AM163" s="163"/>
      <c r="AN163" s="163"/>
      <c r="AO163" s="163"/>
      <c r="AP163" s="163">
        <f>IF(SUM(AS147:AS154)=0,PROPER(AR163),AR163)</f>
      </c>
      <c r="AQ163" s="163">
        <v>8</v>
      </c>
      <c r="AR163" s="171">
        <f>AS163&amp;AT163</f>
      </c>
      <c r="AS163" s="163">
        <f>IF(AS146=100," сто",IF(AS146=200," двести",IF(AS146=300," триста",IF(AS146=400," четыреста",IF(AS146=500," пятьсот",IF(AS146=600," шестьсот",""))))))</f>
      </c>
      <c r="AT163" s="163">
        <f>IF(AS146=700," семьсот",IF(AS146=800," восемьсот",IF(AS146=900," девятьсот","")))</f>
      </c>
      <c r="AU163" s="163"/>
      <c r="AV163" s="163"/>
      <c r="AW163" s="121"/>
      <c r="BK163" s="120"/>
      <c r="BL163" s="120"/>
      <c r="BM163" s="120"/>
      <c r="BN163" s="120"/>
      <c r="BO163" s="120"/>
      <c r="BP163" s="120"/>
    </row>
    <row r="164" spans="38:68" s="164" customFormat="1" ht="12" customHeight="1" hidden="1">
      <c r="AL164" s="163"/>
      <c r="AM164" s="163"/>
      <c r="AN164" s="163"/>
      <c r="AO164" s="163"/>
      <c r="AP164" s="163">
        <f>IF(SUM(AS148:AS154)=0,PROPER(AR164),AR164)</f>
      </c>
      <c r="AQ164" s="163">
        <v>9</v>
      </c>
      <c r="AR164" s="171">
        <f>IF(AND(AS148&lt;20,AS148&gt;10),"",AS164&amp;AT164)</f>
      </c>
      <c r="AS164" s="163">
        <f>IF(AS147=1," один",IF(AS147=2," два",IF(AS147=3," три",IF(AS147=4," четыре",IF(AS147=5," пять",IF(AS147=6," шесть",IF(AS147=7," семь","")))))))</f>
      </c>
      <c r="AT164" s="163">
        <f>IF(AS147=8," восемь",IF(AS147=9," девять",""))</f>
      </c>
      <c r="AU164" s="163">
        <f>IF(AND(AR164="",AR165="",AR166="",AR167=""),"",IF(AND(AS148&lt;20,AS148&gt;10)," миллионов",IF(AS147=1," миллион",IF(OR(AS147=2,AS147=3,AS147=4)," миллиона"," миллионов"))))</f>
      </c>
      <c r="AV164" s="163"/>
      <c r="AW164" s="121"/>
      <c r="BK164" s="120"/>
      <c r="BL164" s="120"/>
      <c r="BM164" s="120"/>
      <c r="BN164" s="120"/>
      <c r="BO164" s="120"/>
      <c r="BP164" s="120"/>
    </row>
    <row r="165" spans="38:68" s="164" customFormat="1" ht="12" customHeight="1" hidden="1">
      <c r="AL165" s="163"/>
      <c r="AM165" s="163"/>
      <c r="AN165" s="163"/>
      <c r="AO165" s="163"/>
      <c r="AP165" s="163">
        <f>IF(SUM(AS150:AS154)=0,PROPER(AR165),AR165)</f>
      </c>
      <c r="AQ165" s="163">
        <v>10</v>
      </c>
      <c r="AR165" s="171">
        <f>AS165&amp;AT165</f>
      </c>
      <c r="AS165" s="163">
        <f>IF(AS148=11," одиннадцать",IF(AS148=12," двенадцать",IF(AS148=13," тринадцать",IF(AS148=14," четырнадцать",IF(AS148=15," пятнадцать",IF(AS148=16," шестнадцать",IF(AS148=17," семнадцать","")))))))</f>
      </c>
      <c r="AT165" s="163">
        <f>IF(AS148=18," восемнадцать",IF(AS148=19," девятнадцать",""))</f>
      </c>
      <c r="AU165" s="163"/>
      <c r="AV165" s="163"/>
      <c r="AW165" s="121"/>
      <c r="BK165" s="120"/>
      <c r="BL165" s="120"/>
      <c r="BM165" s="120"/>
      <c r="BN165" s="120"/>
      <c r="BO165" s="120"/>
      <c r="BP165" s="120"/>
    </row>
    <row r="166" spans="38:68" s="164" customFormat="1" ht="12" customHeight="1" hidden="1">
      <c r="AL166" s="163"/>
      <c r="AM166" s="163"/>
      <c r="AN166" s="163"/>
      <c r="AO166" s="163"/>
      <c r="AP166" s="163">
        <f>IF(SUM(AS150:AS154)=0,PROPER(AR166),AR166)</f>
      </c>
      <c r="AQ166" s="163">
        <v>11</v>
      </c>
      <c r="AR166" s="171">
        <f>IF(AND(AS148&lt;20,AS148&gt;10),"",AS166&amp;AT166)</f>
      </c>
      <c r="AS166" s="163">
        <f>IF(AS149=10," десять",IF(AS149=20," двадцать",IF(AS149=30," тридцать",IF(AS149=40," сорок",IF(AS149=50," пятьдесят",IF(AS149=60," шестьдесят",""))))))</f>
      </c>
      <c r="AT166" s="163">
        <f>IF(AS149=70," семьдесят",IF(AS149=80," восемьдесят",IF(AS149=90," девяносто","")))</f>
      </c>
      <c r="AU166" s="163"/>
      <c r="AV166" s="163"/>
      <c r="AW166" s="121"/>
      <c r="BK166" s="120"/>
      <c r="BL166" s="120"/>
      <c r="BM166" s="120"/>
      <c r="BN166" s="120"/>
      <c r="BO166" s="120"/>
      <c r="BP166" s="120"/>
    </row>
    <row r="167" spans="38:68" s="164" customFormat="1" ht="12" customHeight="1" hidden="1">
      <c r="AL167" s="163"/>
      <c r="AM167" s="163"/>
      <c r="AN167" s="163"/>
      <c r="AO167" s="163"/>
      <c r="AP167" s="163">
        <f>IF(SUM(AS151:AS154)=0,PROPER(AR167),AR167)</f>
      </c>
      <c r="AQ167" s="163">
        <v>12</v>
      </c>
      <c r="AR167" s="171">
        <f>AS167&amp;AT167</f>
      </c>
      <c r="AS167" s="163">
        <f>IF(AS150=100," сто",IF(AS150=200," двести",IF(AS150=300," триста",IF(AS150=400," четыреста",IF(AS150=500," пятьсот",IF(AS150=600," шестьсот",""))))))</f>
      </c>
      <c r="AT167" s="163">
        <f>IF(AS150=700," семьсот",IF(AS150=800," восемьсот",IF(AS150=900," девятьсот","")))</f>
      </c>
      <c r="AU167" s="163"/>
      <c r="AV167" s="163"/>
      <c r="AW167" s="121"/>
      <c r="BK167" s="120"/>
      <c r="BL167" s="120"/>
      <c r="BM167" s="120"/>
      <c r="BN167" s="120"/>
      <c r="BO167" s="120"/>
      <c r="BP167" s="120"/>
    </row>
    <row r="168" spans="38:68" s="164" customFormat="1" ht="12" customHeight="1" hidden="1">
      <c r="AL168" s="163"/>
      <c r="AM168" s="163"/>
      <c r="AN168" s="163"/>
      <c r="AO168" s="163"/>
      <c r="AP168" s="163">
        <f>IF(SUM(AS152:AS154)=0,PROPER(AR168),AR168)</f>
      </c>
      <c r="AQ168" s="163">
        <v>13</v>
      </c>
      <c r="AR168" s="171">
        <f>IF(AND(AS152&lt;20,AS152&gt;10),"",AS168&amp;AT168)</f>
      </c>
      <c r="AS168" s="163">
        <f>IF(AS151=1," один",IF(AS151=2," два",IF(AS151=3," три",IF(AS151=4," четыре",IF(AS151=5," пять",IF(AS151=6," шесть",IF(AS151=7," семь","")))))))</f>
      </c>
      <c r="AT168" s="163">
        <f>IF(AS151=8," восемь",IF(AS151=9," девять",""))</f>
      </c>
      <c r="AU168" s="163">
        <f>IF(AND(AR168="",AR169="",AR170="",AR171=""),"",IF(AND(AS152&lt;20,AS152&gt;10)," миллиардов",IF(AS151=1," миллиард",IF(OR(AS151=2,AS151=3,AS151=4)," миллиарда"," миллиардов"))))</f>
      </c>
      <c r="AV168" s="163"/>
      <c r="AW168" s="121"/>
      <c r="BK168" s="120"/>
      <c r="BL168" s="120"/>
      <c r="BM168" s="120"/>
      <c r="BN168" s="120"/>
      <c r="BO168" s="120"/>
      <c r="BP168" s="120"/>
    </row>
    <row r="169" spans="38:68" s="164" customFormat="1" ht="12" customHeight="1" hidden="1">
      <c r="AL169" s="163"/>
      <c r="AM169" s="163"/>
      <c r="AN169" s="163"/>
      <c r="AO169" s="163"/>
      <c r="AP169" s="163">
        <f>IF(AS154=0,PROPER(AR169),AR169)</f>
      </c>
      <c r="AQ169" s="163">
        <v>14</v>
      </c>
      <c r="AR169" s="171">
        <f>AS169&amp;AT169</f>
      </c>
      <c r="AS169" s="163">
        <f>IF(AS152=11," одиннадцать",IF(AS152=12," двенадцать",IF(AS152=13," тринадцать",IF(AS152=14," четырнадцать",IF(AS152=15," пятнадцать",IF(AS152=16," шестнадцать",IF(AS152=17," семнадцать","")))))))</f>
      </c>
      <c r="AT169" s="163">
        <f>IF(AS152=18," восемнадцать",IF(AS152=19," девятнадцать",""))</f>
      </c>
      <c r="AU169" s="163"/>
      <c r="AV169" s="163"/>
      <c r="AW169" s="121"/>
      <c r="BK169" s="120"/>
      <c r="BL169" s="120"/>
      <c r="BM169" s="120"/>
      <c r="BN169" s="120"/>
      <c r="BO169" s="120"/>
      <c r="BP169" s="120"/>
    </row>
    <row r="170" spans="38:68" s="164" customFormat="1" ht="12" customHeight="1" hidden="1">
      <c r="AL170" s="163"/>
      <c r="AM170" s="163"/>
      <c r="AN170" s="163"/>
      <c r="AO170" s="163"/>
      <c r="AP170" s="163">
        <f>IF(SUM(AS154)=0,PROPER(AR170),AR170)</f>
      </c>
      <c r="AQ170" s="163">
        <v>15</v>
      </c>
      <c r="AR170" s="171">
        <f>IF(AND(AS152&lt;20,AS152&gt;10),"",AS170&amp;AT170)</f>
      </c>
      <c r="AS170" s="163">
        <f>IF(AS153=10," десять",IF(AS153=20," двадцать",IF(AS153=30," тридцать",IF(AS153=40," сорок",IF(AS153=50," пятьдесят",IF(AS153=60," шестьдесят",""))))))</f>
      </c>
      <c r="AT170" s="163">
        <f>IF(AS153=70," семьдесят",IF(AS153=80," восемьдесят",IF(AS153=90," девяносто","")))</f>
      </c>
      <c r="AU170" s="163"/>
      <c r="AV170" s="163"/>
      <c r="AW170" s="121"/>
      <c r="BK170" s="120"/>
      <c r="BL170" s="120"/>
      <c r="BM170" s="120"/>
      <c r="BN170" s="120"/>
      <c r="BO170" s="120"/>
      <c r="BP170" s="120"/>
    </row>
    <row r="171" spans="38:68" s="164" customFormat="1" ht="12" customHeight="1" hidden="1">
      <c r="AL171" s="163"/>
      <c r="AM171" s="163"/>
      <c r="AN171" s="163"/>
      <c r="AO171" s="163"/>
      <c r="AP171" s="163">
        <f>PROPER(AR171)</f>
      </c>
      <c r="AQ171" s="163">
        <v>16</v>
      </c>
      <c r="AR171" s="171">
        <f>AS171&amp;AT171</f>
      </c>
      <c r="AS171" s="163">
        <f>IF(AS154=100," сто",IF(AS154=200," двести",IF(AS154=300," триста",IF(AS154=400," четыреста",IF(AS154=500," пятьсот",IF(AS154=600," шестьсот",""))))))</f>
      </c>
      <c r="AT171" s="163">
        <f>IF(AS154=700," семьсот",IF(AS154=800," восемьсот",IF(AS154=900," девятьсот","")))</f>
      </c>
      <c r="AU171" s="163"/>
      <c r="AV171" s="163"/>
      <c r="AW171" s="121"/>
      <c r="BK171" s="120"/>
      <c r="BL171" s="120"/>
      <c r="BM171" s="120"/>
      <c r="BN171" s="120"/>
      <c r="BO171" s="120"/>
      <c r="BP171" s="120"/>
    </row>
    <row r="172" spans="38:68" s="164" customFormat="1" ht="12" customHeight="1" hidden="1"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21"/>
      <c r="BK172" s="120"/>
      <c r="BL172" s="120"/>
      <c r="BM172" s="120"/>
      <c r="BN172" s="120"/>
      <c r="BO172" s="120"/>
      <c r="BP172" s="120"/>
    </row>
    <row r="173" spans="38:68" s="164" customFormat="1" ht="12" customHeight="1" hidden="1"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21"/>
      <c r="BK173" s="120"/>
      <c r="BL173" s="120"/>
      <c r="BM173" s="120"/>
      <c r="BN173" s="120"/>
      <c r="BO173" s="120"/>
      <c r="BP173" s="120"/>
    </row>
    <row r="174" spans="38:68" s="164" customFormat="1" ht="12" customHeight="1" hidden="1"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21"/>
      <c r="BK174" s="120"/>
      <c r="BL174" s="120"/>
      <c r="BM174" s="120"/>
      <c r="BN174" s="120"/>
      <c r="BO174" s="120"/>
      <c r="BP174" s="120"/>
    </row>
    <row r="175" spans="38:68" s="164" customFormat="1" ht="12" customHeight="1" hidden="1">
      <c r="AL175" s="176"/>
      <c r="AM175" s="176"/>
      <c r="AN175" s="176"/>
      <c r="AO175" s="176"/>
      <c r="AP175" s="176"/>
      <c r="AQ175" s="176"/>
      <c r="AR175" s="176"/>
      <c r="AS175" s="176"/>
      <c r="AT175" s="176"/>
      <c r="AU175" s="176"/>
      <c r="AV175" s="176"/>
      <c r="AW175" s="177"/>
      <c r="BK175" s="120"/>
      <c r="BL175" s="120"/>
      <c r="BM175" s="120"/>
      <c r="BN175" s="120"/>
      <c r="BO175" s="120"/>
      <c r="BP175" s="120"/>
    </row>
    <row r="176" spans="38:68" s="164" customFormat="1" ht="12" customHeight="1" hidden="1">
      <c r="AL176" s="176"/>
      <c r="AM176" s="176"/>
      <c r="AN176" s="176"/>
      <c r="AO176" s="176"/>
      <c r="AP176" s="176"/>
      <c r="AQ176" s="176"/>
      <c r="AR176" s="176"/>
      <c r="AS176" s="176"/>
      <c r="AT176" s="176"/>
      <c r="AU176" s="176"/>
      <c r="AV176" s="176"/>
      <c r="AW176" s="177"/>
      <c r="BK176" s="120"/>
      <c r="BL176" s="120"/>
      <c r="BM176" s="120"/>
      <c r="BN176" s="120"/>
      <c r="BO176" s="120"/>
      <c r="BP176" s="120"/>
    </row>
    <row r="177" spans="38:68" s="164" customFormat="1" ht="12" customHeight="1" hidden="1"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176"/>
      <c r="AW177" s="177"/>
      <c r="BK177" s="120"/>
      <c r="BL177" s="120"/>
      <c r="BM177" s="120"/>
      <c r="BN177" s="120"/>
      <c r="BO177" s="120"/>
      <c r="BP177" s="120"/>
    </row>
    <row r="178" spans="64:67" s="125" customFormat="1" ht="12" customHeight="1" hidden="1">
      <c r="BL178" s="120"/>
      <c r="BM178" s="120"/>
      <c r="BN178" s="120"/>
      <c r="BO178" s="120"/>
    </row>
    <row r="179" spans="64:67" s="125" customFormat="1" ht="12" customHeight="1" hidden="1">
      <c r="BL179" s="120"/>
      <c r="BM179" s="120"/>
      <c r="BN179" s="120"/>
      <c r="BO179" s="120"/>
    </row>
    <row r="180" spans="38:68" s="164" customFormat="1" ht="12" customHeight="1" hidden="1">
      <c r="AL180" s="163"/>
      <c r="AM180" s="163"/>
      <c r="AN180" s="163"/>
      <c r="AO180" s="163">
        <f>IF(AP201&lt;64,0,IF(AO188&lt;=64,0,FIND(" ",AR202,64)))</f>
        <v>0</v>
      </c>
      <c r="AP180" s="163"/>
      <c r="AQ180" s="163"/>
      <c r="AR180" s="163"/>
      <c r="AS180" s="163"/>
      <c r="AT180" s="163"/>
      <c r="AU180" s="163"/>
      <c r="AV180" s="163"/>
      <c r="AW180" s="121"/>
      <c r="BK180" s="120"/>
      <c r="BL180" s="120"/>
      <c r="BM180" s="120"/>
      <c r="BN180" s="120"/>
      <c r="BO180" s="120"/>
      <c r="BP180" s="120"/>
    </row>
    <row r="181" spans="38:68" s="164" customFormat="1" ht="12" customHeight="1" hidden="1">
      <c r="AL181" s="163"/>
      <c r="AM181" s="163"/>
      <c r="AN181" s="163"/>
      <c r="AO181" s="163">
        <f>IF(AO185="","",IF(AO182&lt;=AO183,"",MID(AR202,AO183+1,43)))</f>
      </c>
      <c r="AP181" s="163"/>
      <c r="AQ181" s="163"/>
      <c r="AR181" s="163"/>
      <c r="AS181" s="163"/>
      <c r="AT181" s="163"/>
      <c r="AU181" s="163"/>
      <c r="AV181" s="163"/>
      <c r="AW181" s="121"/>
      <c r="BK181" s="120"/>
      <c r="BL181" s="120"/>
      <c r="BM181" s="120"/>
      <c r="BN181" s="120"/>
      <c r="BO181" s="120"/>
      <c r="BP181" s="120"/>
    </row>
    <row r="182" spans="38:68" s="164" customFormat="1" ht="12" customHeight="1" hidden="1">
      <c r="AL182" s="163"/>
      <c r="AM182" s="163"/>
      <c r="AN182" s="163"/>
      <c r="AO182" s="163">
        <f>LEN(AR202)</f>
        <v>40</v>
      </c>
      <c r="AP182" s="163"/>
      <c r="AQ182" s="163"/>
      <c r="AR182" s="163"/>
      <c r="AS182" s="163"/>
      <c r="AT182" s="163"/>
      <c r="AU182" s="163"/>
      <c r="AV182" s="163"/>
      <c r="AW182" s="121"/>
      <c r="BK182" s="120"/>
      <c r="BL182" s="120"/>
      <c r="BM182" s="120"/>
      <c r="BN182" s="120"/>
      <c r="BO182" s="120"/>
      <c r="BP182" s="120"/>
    </row>
    <row r="183" spans="38:68" s="164" customFormat="1" ht="12" customHeight="1" hidden="1">
      <c r="AL183" s="163"/>
      <c r="AM183" s="163"/>
      <c r="AN183" s="163"/>
      <c r="AO183" s="163">
        <f>LEN(AO187)+LEN(AO185)+1</f>
        <v>40</v>
      </c>
      <c r="AP183" s="163">
        <f>LEN(AO187)</f>
        <v>26</v>
      </c>
      <c r="AQ183" s="163"/>
      <c r="AR183" s="163"/>
      <c r="AS183" s="163"/>
      <c r="AT183" s="163"/>
      <c r="AU183" s="163"/>
      <c r="AV183" s="163"/>
      <c r="AW183" s="121"/>
      <c r="BK183" s="120"/>
      <c r="BL183" s="120"/>
      <c r="BM183" s="120"/>
      <c r="BN183" s="120"/>
      <c r="BO183" s="120"/>
      <c r="BP183" s="120"/>
    </row>
    <row r="184" spans="38:68" s="164" customFormat="1" ht="12" customHeight="1" hidden="1">
      <c r="AL184" s="163"/>
      <c r="AM184" s="163"/>
      <c r="AN184" s="163"/>
      <c r="AO184" s="163">
        <f>AO183-AO186</f>
        <v>13</v>
      </c>
      <c r="AP184" s="165"/>
      <c r="AQ184" s="163"/>
      <c r="AR184" s="163" t="s">
        <v>201</v>
      </c>
      <c r="AS184" s="163"/>
      <c r="AT184" s="163"/>
      <c r="AU184" s="163"/>
      <c r="AV184" s="163"/>
      <c r="AW184" s="121"/>
      <c r="BK184" s="120"/>
      <c r="BL184" s="120"/>
      <c r="BM184" s="120"/>
      <c r="BN184" s="120"/>
      <c r="BO184" s="120"/>
      <c r="BP184" s="120"/>
    </row>
    <row r="185" spans="38:68" s="164" customFormat="1" ht="12" customHeight="1" hidden="1">
      <c r="AL185" s="163"/>
      <c r="AM185" s="163">
        <f>IF(AM188&lt;=AM189,"",MID(AR202,AM186+1,100))</f>
      </c>
      <c r="AN185" s="163"/>
      <c r="AO185" s="163" t="str">
        <f>IF(AO188&lt;=AO189,"",IF(AO180=0,MID(AR202,AO186+1,39),MID(AR202,AO186+1,AO180-AO186)))</f>
        <v>пятьдесят два</v>
      </c>
      <c r="AP185" s="165"/>
      <c r="AQ185" s="163"/>
      <c r="AR185" s="166">
        <f>INT(AS185)</f>
        <v>348052</v>
      </c>
      <c r="AS185" s="166">
        <f>ROUND(AL50,2)</f>
        <v>348052.94</v>
      </c>
      <c r="AT185" s="163"/>
      <c r="AU185" s="163"/>
      <c r="AV185" s="163"/>
      <c r="AW185" s="121"/>
      <c r="BK185" s="120"/>
      <c r="BL185" s="120"/>
      <c r="BM185" s="120"/>
      <c r="BN185" s="120"/>
      <c r="BO185" s="120"/>
      <c r="BP185" s="120"/>
    </row>
    <row r="186" spans="38:68" s="164" customFormat="1" ht="12" customHeight="1" hidden="1">
      <c r="AL186" s="163"/>
      <c r="AM186" s="163" t="e">
        <f>FIND(" ",AR202,45)</f>
        <v>#VALUE!</v>
      </c>
      <c r="AN186" s="163"/>
      <c r="AO186" s="163">
        <f>FIND(" ",AR202,25)</f>
        <v>27</v>
      </c>
      <c r="AP186" s="163"/>
      <c r="AQ186" s="163">
        <v>1</v>
      </c>
      <c r="AR186" s="167">
        <f>AR185-INT(AR185/10)*10</f>
        <v>2</v>
      </c>
      <c r="AS186" s="168">
        <f>ROUND((AS185-AR185)*100,0)</f>
        <v>94</v>
      </c>
      <c r="AT186" s="163"/>
      <c r="AU186" s="163"/>
      <c r="AV186" s="163"/>
      <c r="AW186" s="121"/>
      <c r="BK186" s="120"/>
      <c r="BL186" s="120"/>
      <c r="BM186" s="120"/>
      <c r="BN186" s="120"/>
      <c r="BO186" s="120"/>
      <c r="BP186" s="120"/>
    </row>
    <row r="187" spans="38:68" s="164" customFormat="1" ht="12" customHeight="1" hidden="1">
      <c r="AL187" s="163"/>
      <c r="AM187" s="163" t="str">
        <f>IF(AM188&gt;AM189,LEFT(AR202,AM186-1),LEFT(AR202,50))</f>
        <v> Триста сорок восемь тысяч пятьдесят два</v>
      </c>
      <c r="AN187" s="163"/>
      <c r="AO187" s="163" t="str">
        <f>IF(AO188&gt;=AO189,LEFT(AR202,AO186-1),LEFT(AR202,30))</f>
        <v> Триста сорок восемь тысяч</v>
      </c>
      <c r="AP187" s="163"/>
      <c r="AQ187" s="163">
        <v>2</v>
      </c>
      <c r="AR187" s="169">
        <f>IF(AND(AR186+AR188&gt;=11,AR186+AR188&lt;=19),AR186+AR188,0)</f>
        <v>0</v>
      </c>
      <c r="AS187" s="169">
        <f>INT(AS186)</f>
        <v>94</v>
      </c>
      <c r="AT187" s="163"/>
      <c r="AU187" s="163"/>
      <c r="AV187" s="163"/>
      <c r="AW187" s="121"/>
      <c r="BK187" s="120"/>
      <c r="BL187" s="120"/>
      <c r="BM187" s="120"/>
      <c r="BN187" s="120"/>
      <c r="BO187" s="120"/>
      <c r="BP187" s="120"/>
    </row>
    <row r="188" spans="38:68" s="164" customFormat="1" ht="12" customHeight="1" hidden="1">
      <c r="AL188" s="163"/>
      <c r="AM188" s="163">
        <f>LEN(AR202)</f>
        <v>40</v>
      </c>
      <c r="AN188" s="163"/>
      <c r="AO188" s="163">
        <f>LEN(AR202)</f>
        <v>40</v>
      </c>
      <c r="AP188" s="165"/>
      <c r="AQ188" s="163">
        <v>3</v>
      </c>
      <c r="AR188" s="169">
        <f>AR185-INT(AR185/100)*100-AR186</f>
        <v>50</v>
      </c>
      <c r="AS188" s="169">
        <f>IF(AS187=0,"",AS187-INT(AS187/10)*10)</f>
        <v>4</v>
      </c>
      <c r="AT188" s="163"/>
      <c r="AU188" s="163"/>
      <c r="AV188" s="163"/>
      <c r="AW188" s="121"/>
      <c r="BK188" s="120"/>
      <c r="BL188" s="120"/>
      <c r="BM188" s="120"/>
      <c r="BN188" s="120"/>
      <c r="BO188" s="120"/>
      <c r="BP188" s="120"/>
    </row>
    <row r="189" spans="38:68" s="164" customFormat="1" ht="12" customHeight="1" hidden="1">
      <c r="AL189" s="163"/>
      <c r="AM189" s="163">
        <v>50</v>
      </c>
      <c r="AN189" s="163"/>
      <c r="AO189" s="163">
        <v>30</v>
      </c>
      <c r="AP189" s="165"/>
      <c r="AQ189" s="163">
        <v>4</v>
      </c>
      <c r="AR189" s="169">
        <f>AR185-INT(AR185/1000)*1000-AR188-AR186</f>
        <v>0</v>
      </c>
      <c r="AS189" s="170">
        <f>IF(AS187=0,"",AS187)</f>
        <v>94</v>
      </c>
      <c r="AT189" s="163">
        <v>0</v>
      </c>
      <c r="AU189" s="163" t="s">
        <v>164</v>
      </c>
      <c r="AV189" s="163"/>
      <c r="AW189" s="121"/>
      <c r="BK189" s="120"/>
      <c r="BL189" s="120"/>
      <c r="BM189" s="120"/>
      <c r="BN189" s="120"/>
      <c r="BO189" s="120"/>
      <c r="BP189" s="120"/>
    </row>
    <row r="190" spans="38:68" s="164" customFormat="1" ht="12" customHeight="1" hidden="1">
      <c r="AL190" s="163"/>
      <c r="AM190" s="163"/>
      <c r="AN190" s="163"/>
      <c r="AO190" s="163"/>
      <c r="AP190" s="163"/>
      <c r="AQ190" s="163">
        <v>5</v>
      </c>
      <c r="AR190" s="169">
        <f>AR185-INT(AR185/10000)*10000-AR188-AR186-AR189</f>
        <v>8000</v>
      </c>
      <c r="AS190" s="163">
        <f>AR190/1000</f>
        <v>8</v>
      </c>
      <c r="AT190" s="163"/>
      <c r="AU190" s="163"/>
      <c r="AV190" s="163"/>
      <c r="AW190" s="121"/>
      <c r="BK190" s="120"/>
      <c r="BL190" s="120"/>
      <c r="BM190" s="120"/>
      <c r="BN190" s="120"/>
      <c r="BO190" s="120"/>
      <c r="BP190" s="120"/>
    </row>
    <row r="191" spans="38:68" s="164" customFormat="1" ht="12" customHeight="1" hidden="1">
      <c r="AL191" s="163"/>
      <c r="AM191" s="163"/>
      <c r="AN191" s="163"/>
      <c r="AO191" s="163"/>
      <c r="AP191" s="163"/>
      <c r="AQ191" s="163">
        <v>6</v>
      </c>
      <c r="AR191" s="163"/>
      <c r="AS191" s="169">
        <f>IF(AND(AS190+AS192&gt;=11,AS190+AS192&lt;=19),AS190+AS192,0)</f>
        <v>0</v>
      </c>
      <c r="AT191" s="163"/>
      <c r="AU191" s="163"/>
      <c r="AV191" s="163"/>
      <c r="AW191" s="121"/>
      <c r="BK191" s="120"/>
      <c r="BL191" s="120"/>
      <c r="BM191" s="120"/>
      <c r="BN191" s="120"/>
      <c r="BO191" s="120"/>
      <c r="BP191" s="120"/>
    </row>
    <row r="192" spans="38:68" s="164" customFormat="1" ht="12" customHeight="1" hidden="1">
      <c r="AL192" s="163"/>
      <c r="AM192" s="163"/>
      <c r="AN192" s="163"/>
      <c r="AO192" s="163"/>
      <c r="AP192" s="163"/>
      <c r="AQ192" s="163">
        <v>7</v>
      </c>
      <c r="AR192" s="169">
        <f>AR185-INT(AR185/100000)*100000-AR188-AR186-AR189-AR190</f>
        <v>40000</v>
      </c>
      <c r="AS192" s="163">
        <f>AR192/1000</f>
        <v>40</v>
      </c>
      <c r="AT192" s="163"/>
      <c r="AU192" s="163"/>
      <c r="AV192" s="163"/>
      <c r="AW192" s="121"/>
      <c r="BK192" s="120"/>
      <c r="BL192" s="120"/>
      <c r="BM192" s="120"/>
      <c r="BN192" s="120"/>
      <c r="BO192" s="120"/>
      <c r="BP192" s="120"/>
    </row>
    <row r="193" spans="38:68" s="164" customFormat="1" ht="12" customHeight="1" hidden="1">
      <c r="AL193" s="163"/>
      <c r="AM193" s="163"/>
      <c r="AN193" s="163"/>
      <c r="AO193" s="163"/>
      <c r="AP193" s="163"/>
      <c r="AQ193" s="163">
        <v>8</v>
      </c>
      <c r="AR193" s="169">
        <f>AR185-INT(AR185/1000000)*1000000-AR188-AR186-AR189-AR190-AR192</f>
        <v>300000</v>
      </c>
      <c r="AS193" s="163">
        <f>AR193/1000</f>
        <v>300</v>
      </c>
      <c r="AT193" s="163"/>
      <c r="AU193" s="163"/>
      <c r="AV193" s="163"/>
      <c r="AW193" s="121"/>
      <c r="BK193" s="120"/>
      <c r="BL193" s="120"/>
      <c r="BM193" s="120"/>
      <c r="BN193" s="120"/>
      <c r="BO193" s="120"/>
      <c r="BP193" s="120"/>
    </row>
    <row r="194" spans="38:68" s="164" customFormat="1" ht="12" customHeight="1" hidden="1">
      <c r="AL194" s="163"/>
      <c r="AM194" s="163"/>
      <c r="AN194" s="163"/>
      <c r="AO194" s="163"/>
      <c r="AP194" s="163"/>
      <c r="AQ194" s="163">
        <v>9</v>
      </c>
      <c r="AR194" s="169">
        <f>AR185-INT(AR185/10000000)*10000000-AR188-AR186-AR189-AR190-AR192-AR193</f>
        <v>0</v>
      </c>
      <c r="AS194" s="163">
        <f>AR194/1000000</f>
        <v>0</v>
      </c>
      <c r="AT194" s="163"/>
      <c r="AU194" s="163"/>
      <c r="AV194" s="163"/>
      <c r="AW194" s="121"/>
      <c r="BK194" s="120"/>
      <c r="BL194" s="120"/>
      <c r="BM194" s="120"/>
      <c r="BN194" s="120"/>
      <c r="BO194" s="120"/>
      <c r="BP194" s="120"/>
    </row>
    <row r="195" spans="38:68" s="164" customFormat="1" ht="12" customHeight="1" hidden="1">
      <c r="AL195" s="163"/>
      <c r="AM195" s="163"/>
      <c r="AN195" s="163"/>
      <c r="AO195" s="163"/>
      <c r="AP195" s="163"/>
      <c r="AQ195" s="163">
        <v>10</v>
      </c>
      <c r="AR195" s="163"/>
      <c r="AS195" s="169">
        <f>IF(AND(AS194+AS196&gt;=11,AS194+AS196&lt;=19),AS194+AS196,0)</f>
        <v>0</v>
      </c>
      <c r="AT195" s="163"/>
      <c r="AU195" s="163"/>
      <c r="AV195" s="163"/>
      <c r="AW195" s="121"/>
      <c r="BK195" s="120"/>
      <c r="BL195" s="120"/>
      <c r="BM195" s="120"/>
      <c r="BN195" s="120"/>
      <c r="BO195" s="120"/>
      <c r="BP195" s="120"/>
    </row>
    <row r="196" spans="38:68" s="164" customFormat="1" ht="12" customHeight="1" hidden="1">
      <c r="AL196" s="163"/>
      <c r="AM196" s="163"/>
      <c r="AN196" s="163"/>
      <c r="AO196" s="163"/>
      <c r="AP196" s="163"/>
      <c r="AQ196" s="163">
        <v>11</v>
      </c>
      <c r="AR196" s="169">
        <f>AR185-INT(AR185/100000000)*100000000-AR188-AR186-AR189-AR190-AR192-AR193-AR194</f>
        <v>0</v>
      </c>
      <c r="AS196" s="163">
        <f>AR196/1000000</f>
        <v>0</v>
      </c>
      <c r="AT196" s="163"/>
      <c r="AU196" s="163"/>
      <c r="AV196" s="163"/>
      <c r="AW196" s="121"/>
      <c r="BK196" s="120"/>
      <c r="BL196" s="120"/>
      <c r="BM196" s="120"/>
      <c r="BN196" s="120"/>
      <c r="BO196" s="120"/>
      <c r="BP196" s="120"/>
    </row>
    <row r="197" spans="38:68" s="164" customFormat="1" ht="12" customHeight="1" hidden="1">
      <c r="AL197" s="163"/>
      <c r="AM197" s="163"/>
      <c r="AN197" s="163"/>
      <c r="AO197" s="163"/>
      <c r="AP197" s="163"/>
      <c r="AQ197" s="163">
        <v>12</v>
      </c>
      <c r="AR197" s="169">
        <f>AR185-INT(AR185/1000000000)*1000000000-AR188-AR186-AR189-AR190-AR192-AR193-AR194-AR196</f>
        <v>0</v>
      </c>
      <c r="AS197" s="163">
        <f>AR197/1000000</f>
        <v>0</v>
      </c>
      <c r="AT197" s="163"/>
      <c r="AU197" s="163"/>
      <c r="AV197" s="163"/>
      <c r="AW197" s="121"/>
      <c r="BK197" s="120"/>
      <c r="BL197" s="120"/>
      <c r="BM197" s="120"/>
      <c r="BN197" s="120"/>
      <c r="BO197" s="120"/>
      <c r="BP197" s="120"/>
    </row>
    <row r="198" spans="38:68" s="164" customFormat="1" ht="12" customHeight="1" hidden="1">
      <c r="AL198" s="163"/>
      <c r="AM198" s="163"/>
      <c r="AN198" s="163"/>
      <c r="AO198" s="163"/>
      <c r="AP198" s="163"/>
      <c r="AQ198" s="163">
        <v>13</v>
      </c>
      <c r="AR198" s="169">
        <f>AR185-INT(AR185/10000000000)*10000000000-AR188-AR186-AR189-AR190-AR192-AR193-AR194-AR196-AR197</f>
        <v>0</v>
      </c>
      <c r="AS198" s="163">
        <f>AR198/1000000000</f>
        <v>0</v>
      </c>
      <c r="AT198" s="163"/>
      <c r="AU198" s="163"/>
      <c r="AV198" s="163"/>
      <c r="AW198" s="121"/>
      <c r="BK198" s="120"/>
      <c r="BL198" s="120"/>
      <c r="BM198" s="120"/>
      <c r="BN198" s="120"/>
      <c r="BO198" s="120"/>
      <c r="BP198" s="120"/>
    </row>
    <row r="199" spans="38:68" s="164" customFormat="1" ht="12" customHeight="1" hidden="1">
      <c r="AL199" s="163"/>
      <c r="AM199" s="163"/>
      <c r="AN199" s="163"/>
      <c r="AO199" s="163"/>
      <c r="AP199" s="163"/>
      <c r="AQ199" s="163">
        <v>14</v>
      </c>
      <c r="AR199" s="169"/>
      <c r="AS199" s="169">
        <f>IF(AND(AS198+AS200&gt;=11,AS198+AS200&lt;=19),AS198+AS200,0)</f>
        <v>0</v>
      </c>
      <c r="AT199" s="163"/>
      <c r="AU199" s="163"/>
      <c r="AV199" s="163"/>
      <c r="AW199" s="121"/>
      <c r="BK199" s="120"/>
      <c r="BL199" s="120"/>
      <c r="BM199" s="120"/>
      <c r="BN199" s="120"/>
      <c r="BO199" s="120"/>
      <c r="BP199" s="120"/>
    </row>
    <row r="200" spans="38:68" s="164" customFormat="1" ht="12" customHeight="1" hidden="1">
      <c r="AL200" s="163"/>
      <c r="AM200" s="163"/>
      <c r="AN200" s="163"/>
      <c r="AO200" s="163"/>
      <c r="AP200" s="163"/>
      <c r="AQ200" s="163">
        <v>15</v>
      </c>
      <c r="AR200" s="169">
        <f>AR185-INT(AR185/100000000000)*100000000000-AR188-AR186-AR189-AR190-AR192-AR193-AR194-AR196-AR197-AR198</f>
        <v>0</v>
      </c>
      <c r="AS200" s="163">
        <f>AR200/1000000000</f>
        <v>0</v>
      </c>
      <c r="AT200" s="163"/>
      <c r="AU200" s="163"/>
      <c r="AV200" s="163"/>
      <c r="AW200" s="121"/>
      <c r="BK200" s="120"/>
      <c r="BL200" s="120"/>
      <c r="BM200" s="120"/>
      <c r="BN200" s="120"/>
      <c r="BO200" s="120"/>
      <c r="BP200" s="120"/>
    </row>
    <row r="201" spans="38:68" s="164" customFormat="1" ht="12" customHeight="1" hidden="1">
      <c r="AL201" s="163"/>
      <c r="AM201" s="163"/>
      <c r="AN201" s="163"/>
      <c r="AO201" s="163"/>
      <c r="AP201" s="163">
        <f>SEARCH("@",SUBSTITUTE(AR202," ","@",LEN(AR202)-LEN(SUBSTITUTE(AR202," ",""))))</f>
        <v>37</v>
      </c>
      <c r="AQ201" s="163">
        <v>16</v>
      </c>
      <c r="AR201" s="169">
        <f>AR185-INT(AR185/1000000000000)*1000000000000-AR188-AR186-AR189-AR190-AR192-AR193-AR194-AR196-AR197-AR198-AR200</f>
        <v>0</v>
      </c>
      <c r="AS201" s="163">
        <f>AR201/1000000000</f>
        <v>0</v>
      </c>
      <c r="AT201" s="163"/>
      <c r="AU201" s="163"/>
      <c r="AV201" s="163"/>
      <c r="AW201" s="121"/>
      <c r="BK201" s="120"/>
      <c r="BL201" s="120"/>
      <c r="BM201" s="120"/>
      <c r="BN201" s="120"/>
      <c r="BO201" s="120"/>
      <c r="BP201" s="120"/>
    </row>
    <row r="202" spans="38:68" s="164" customFormat="1" ht="12" customHeight="1" hidden="1">
      <c r="AL202" s="163"/>
      <c r="AM202" s="163"/>
      <c r="AN202" s="163"/>
      <c r="AO202" s="163"/>
      <c r="AP202" s="163"/>
      <c r="AQ202" s="163"/>
      <c r="AR202" s="171" t="str">
        <f>IF(AS185=0,"",AP218&amp;AP217&amp;AP216&amp;AP215&amp;AU215&amp;AP214&amp;AP213&amp;AP212&amp;AP211&amp;AU211&amp;AP210&amp;AP209&amp;AP208&amp;AP207&amp;AU207&amp;AP206&amp;AP205&amp;AP204&amp;AP203)</f>
        <v> Триста сорок восемь тысяч пятьдесят два</v>
      </c>
      <c r="AS202" s="163"/>
      <c r="AT202" s="163"/>
      <c r="AU202" s="163"/>
      <c r="AV202" s="163"/>
      <c r="AW202" s="121"/>
      <c r="BK202" s="120"/>
      <c r="BL202" s="120"/>
      <c r="BM202" s="120"/>
      <c r="BN202" s="120"/>
      <c r="BO202" s="120"/>
      <c r="BP202" s="120"/>
    </row>
    <row r="203" spans="38:68" s="164" customFormat="1" ht="12" customHeight="1" hidden="1">
      <c r="AL203" s="163" t="s">
        <v>165</v>
      </c>
      <c r="AM203" s="172">
        <f>IF(AR187&gt;0,"",IF(AR186=1,AN203,""))</f>
      </c>
      <c r="AN203" s="173" t="s">
        <v>166</v>
      </c>
      <c r="AO203" s="163"/>
      <c r="AP203" s="163" t="str">
        <f>IF(SUM(AR187:AR201)=0,PROPER(AR203),AR203)</f>
        <v> два</v>
      </c>
      <c r="AQ203" s="163">
        <v>1</v>
      </c>
      <c r="AR203" s="171" t="str">
        <f>IF(AND(AR187&lt;20,AR187&gt;10),"",AS203&amp;AT203)</f>
        <v> два</v>
      </c>
      <c r="AS203" s="163" t="str">
        <f>IF(AR186=1," один",IF(AR186=2," два",IF(AR186=3," три",IF(AR186=4," четыре",IF(AR186=5," пять",IF(AR186=6," шесть",IF(AR186=7," семь","")))))))</f>
        <v> два</v>
      </c>
      <c r="AT203" s="163">
        <f>IF(AR186=8," восемь",IF(AR186=9," девять",""))</f>
      </c>
      <c r="AU203" s="163"/>
      <c r="AV203" s="163"/>
      <c r="AW203" s="121"/>
      <c r="BK203" s="120"/>
      <c r="BL203" s="120"/>
      <c r="BM203" s="120"/>
      <c r="BN203" s="120"/>
      <c r="BO203" s="120"/>
      <c r="BP203" s="120"/>
    </row>
    <row r="204" spans="38:68" s="164" customFormat="1" ht="12" customHeight="1" hidden="1">
      <c r="AL204" s="163" t="s">
        <v>167</v>
      </c>
      <c r="AM204" s="174" t="str">
        <f>IF(AR187&gt;0,"",IF(OR(AR186=2,AR186=3,AR186=4),AN204,""))</f>
        <v> белорусских рубля </v>
      </c>
      <c r="AN204" s="175" t="s">
        <v>168</v>
      </c>
      <c r="AO204" s="163"/>
      <c r="AP204" s="163">
        <f>IF(SUM(AR189:AR201)=0,PROPER(AR204),AR204)</f>
      </c>
      <c r="AQ204" s="163">
        <v>2</v>
      </c>
      <c r="AR204" s="171">
        <f>AS204&amp;AT204</f>
      </c>
      <c r="AS204" s="163">
        <f>IF(AR187=11," одиннадцать",IF(AR187=12," двенадцать",IF(AR187=13," тринадцать",IF(AR187=14," четырнадцать",IF(AR187=15," пятнадцать",IF(AR187=16," шестнадцать",IF(AR187=17," семнадцать","")))))))</f>
      </c>
      <c r="AT204" s="163">
        <f>IF(AR187=18," восемнадцать",IF(AR187=19," девятнадцать",""))</f>
      </c>
      <c r="AU204" s="163"/>
      <c r="AV204" s="163"/>
      <c r="AW204" s="121"/>
      <c r="BK204" s="120"/>
      <c r="BL204" s="120"/>
      <c r="BM204" s="120"/>
      <c r="BN204" s="120"/>
      <c r="BO204" s="120"/>
      <c r="BP204" s="120"/>
    </row>
    <row r="205" spans="38:68" s="164" customFormat="1" ht="12" customHeight="1" hidden="1">
      <c r="AL205" s="163" t="s">
        <v>169</v>
      </c>
      <c r="AM205" s="174">
        <f>IF(AR187&gt;0,"",IF(OR(AR186=0,AR186=5,AR186=6,AR186=7,AR186=8,AR186=9),AN205,""))</f>
      </c>
      <c r="AN205" s="175" t="s">
        <v>170</v>
      </c>
      <c r="AO205" s="163"/>
      <c r="AP205" s="163" t="str">
        <f>IF(SUM(AR189:AR201)=0,PROPER(AR205),AR205)</f>
        <v> пятьдесят</v>
      </c>
      <c r="AQ205" s="163">
        <v>3</v>
      </c>
      <c r="AR205" s="171" t="str">
        <f>IF(AND(AR187&lt;20,AR187&gt;10),"",AS205&amp;AT205)</f>
        <v> пятьдесят</v>
      </c>
      <c r="AS205" s="163" t="str">
        <f>IF(AR188=10," десять",IF(AR188=20," двадцать",IF(AR188=30," тридцать",IF(AR188=40," сорок",IF(AR188=50," пятьдесят",IF(AR188=60," шестьдесят",""))))))</f>
        <v> пятьдесят</v>
      </c>
      <c r="AT205" s="163">
        <f>IF(AR188=70," семьдесят",IF(AR188=80," восемьдесят",IF(AR188=90," девяносто","")))</f>
      </c>
      <c r="AU205" s="163"/>
      <c r="AV205" s="163"/>
      <c r="AW205" s="121"/>
      <c r="BK205" s="120"/>
      <c r="BL205" s="120"/>
      <c r="BM205" s="120"/>
      <c r="BN205" s="120"/>
      <c r="BO205" s="120"/>
      <c r="BP205" s="120"/>
    </row>
    <row r="206" spans="38:68" s="164" customFormat="1" ht="12" customHeight="1" hidden="1">
      <c r="AL206" s="163"/>
      <c r="AM206" s="163">
        <f>IF(AND(AR187&gt;=11,AR187&lt;=19),AN205,"")</f>
      </c>
      <c r="AN206" s="175"/>
      <c r="AO206" s="163"/>
      <c r="AP206" s="163">
        <f>IF(SUM(AS190:AS201)=0,PROPER(AR206),AR206)</f>
      </c>
      <c r="AQ206" s="163">
        <v>4</v>
      </c>
      <c r="AR206" s="171">
        <f>AS206&amp;AT206</f>
      </c>
      <c r="AS206" s="163">
        <f>IF(AR189=100," сто",IF(AR189=200," двести",IF(AR189=300," триста",IF(AR189=400," четыреста",IF(AR189=500," пятьсот",IF(AR189=600," шестьсот",""))))))</f>
      </c>
      <c r="AT206" s="163">
        <f>IF(AR189=700," семьсот",IF(AR189=800," восемьсот",IF(AR189=900," девятьсот","")))</f>
      </c>
      <c r="AU206" s="163"/>
      <c r="AV206" s="163"/>
      <c r="AW206" s="121"/>
      <c r="BK206" s="120"/>
      <c r="BL206" s="120"/>
      <c r="BM206" s="120"/>
      <c r="BN206" s="120"/>
      <c r="BO206" s="120"/>
      <c r="BP206" s="120"/>
    </row>
    <row r="207" spans="38:68" s="164" customFormat="1" ht="12" customHeight="1" hidden="1">
      <c r="AL207" s="163"/>
      <c r="AM207" s="173" t="str">
        <f>AM203&amp;AM204&amp;AM205&amp;AM206</f>
        <v> белорусских рубля </v>
      </c>
      <c r="AN207" s="173"/>
      <c r="AO207" s="163"/>
      <c r="AP207" s="163" t="str">
        <f>IF(SUM(AS191:AS201)=0,PROPER(AR207),AR207)</f>
        <v> восемь</v>
      </c>
      <c r="AQ207" s="163">
        <v>5</v>
      </c>
      <c r="AR207" s="171" t="str">
        <f>IF(AND(AS191&lt;20,AS191&gt;10),"",AS207&amp;AT207)</f>
        <v> восемь</v>
      </c>
      <c r="AS207" s="163">
        <f>IF(AS190=1," одна",IF(AS190=2," две",IF(AS190=3," три",IF(AS190=4," четыре",IF(AS190=5," пять",IF(AS190=6," шесть",IF(AS190=7," семь","")))))))</f>
      </c>
      <c r="AT207" s="163" t="str">
        <f>IF(AS190=8," восемь",IF(AS190=9," девять",""))</f>
        <v> восемь</v>
      </c>
      <c r="AU207" s="163" t="str">
        <f>IF(AND(AR207="",AR208="",AR209="",AR210=""),"",IF(AND(AS191&lt;20,AS191&gt;10)," тысяч",IF(AS190=1," тысяча",IF(OR(AS190=2,AS190=3,AS190=4)," тысячи"," тысяч"))))</f>
        <v> тысяч</v>
      </c>
      <c r="AV207" s="163"/>
      <c r="AW207" s="121"/>
      <c r="BK207" s="120"/>
      <c r="BL207" s="120"/>
      <c r="BM207" s="120"/>
      <c r="BN207" s="120"/>
      <c r="BO207" s="120"/>
      <c r="BP207" s="120"/>
    </row>
    <row r="208" spans="38:68" s="164" customFormat="1" ht="12" customHeight="1" hidden="1">
      <c r="AL208" s="163"/>
      <c r="AM208" s="172"/>
      <c r="AN208" s="173"/>
      <c r="AO208" s="163"/>
      <c r="AP208" s="163">
        <f>IF(SUM(AS193:AS201)=0,PROPER(AR208),AR208)</f>
      </c>
      <c r="AQ208" s="163">
        <v>6</v>
      </c>
      <c r="AR208" s="171">
        <f>AS208&amp;AT208</f>
      </c>
      <c r="AS208" s="163">
        <f>IF(AS191=11," одиннадцать",IF(AS191=12," двенадцать",IF(AS191=13," тринадцать",IF(AS191=14," четырнадцать",IF(AS191=15," пятнадцать",IF(AS191=16," шестнадцать",IF(AS191=17," семнадцать","")))))))</f>
      </c>
      <c r="AT208" s="163">
        <f>IF(AS191=18," восемнадцать",IF(AS191=19," девятнадцать",""))</f>
      </c>
      <c r="AU208" s="163"/>
      <c r="AV208" s="163"/>
      <c r="AW208" s="121"/>
      <c r="BK208" s="120"/>
      <c r="BL208" s="120"/>
      <c r="BM208" s="120"/>
      <c r="BN208" s="120"/>
      <c r="BO208" s="120"/>
      <c r="BP208" s="120"/>
    </row>
    <row r="209" spans="38:68" s="164" customFormat="1" ht="12" customHeight="1" hidden="1">
      <c r="AL209" s="163"/>
      <c r="AM209" s="163"/>
      <c r="AN209" s="163"/>
      <c r="AO209" s="163"/>
      <c r="AP209" s="163" t="str">
        <f>IF(SUM(AS193:AS201)=0,PROPER(AR209),AR209)</f>
        <v> сорок</v>
      </c>
      <c r="AQ209" s="163">
        <v>7</v>
      </c>
      <c r="AR209" s="171" t="str">
        <f>IF(AND(AS191&lt;20,AS191&gt;10),"",AS209&amp;AT209)</f>
        <v> сорок</v>
      </c>
      <c r="AS209" s="163" t="str">
        <f>IF(AS192=10," десять",IF(AS192=20," двадцать",IF(AS192=30," тридцать",IF(AS192=40," сорок",IF(AS192=50," пятьдесят",IF(AS192=60," шестьдесят",""))))))</f>
        <v> сорок</v>
      </c>
      <c r="AT209" s="163">
        <f>IF(AS192=70," семьдесят",IF(AS192=80," восемьдесят",IF(AS192=90," девяносто","")))</f>
      </c>
      <c r="AU209" s="163"/>
      <c r="AV209" s="163"/>
      <c r="AW209" s="121"/>
      <c r="BK209" s="120"/>
      <c r="BL209" s="120"/>
      <c r="BM209" s="120"/>
      <c r="BN209" s="120"/>
      <c r="BO209" s="120"/>
      <c r="BP209" s="120"/>
    </row>
    <row r="210" spans="38:68" s="164" customFormat="1" ht="12" customHeight="1" hidden="1">
      <c r="AL210" s="163"/>
      <c r="AM210" s="163"/>
      <c r="AN210" s="163"/>
      <c r="AO210" s="163"/>
      <c r="AP210" s="163" t="str">
        <f>IF(SUM(AS194:AS201)=0,PROPER(AR210),AR210)</f>
        <v> Триста</v>
      </c>
      <c r="AQ210" s="163">
        <v>8</v>
      </c>
      <c r="AR210" s="171" t="str">
        <f>AS210&amp;AT210</f>
        <v> триста</v>
      </c>
      <c r="AS210" s="163" t="str">
        <f>IF(AS193=100," сто",IF(AS193=200," двести",IF(AS193=300," триста",IF(AS193=400," четыреста",IF(AS193=500," пятьсот",IF(AS193=600," шестьсот",""))))))</f>
        <v> триста</v>
      </c>
      <c r="AT210" s="163">
        <f>IF(AS193=700," семьсот",IF(AS193=800," восемьсот",IF(AS193=900," девятьсот","")))</f>
      </c>
      <c r="AU210" s="163"/>
      <c r="AV210" s="163"/>
      <c r="AW210" s="121"/>
      <c r="BK210" s="120"/>
      <c r="BL210" s="120"/>
      <c r="BM210" s="120"/>
      <c r="BN210" s="120"/>
      <c r="BO210" s="120"/>
      <c r="BP210" s="120"/>
    </row>
    <row r="211" spans="38:68" s="164" customFormat="1" ht="12" customHeight="1" hidden="1">
      <c r="AL211" s="163"/>
      <c r="AM211" s="163"/>
      <c r="AN211" s="163"/>
      <c r="AO211" s="163"/>
      <c r="AP211" s="163">
        <f>IF(SUM(AS195:AS201)=0,PROPER(AR211),AR211)</f>
      </c>
      <c r="AQ211" s="163">
        <v>9</v>
      </c>
      <c r="AR211" s="171">
        <f>IF(AND(AS195&lt;20,AS195&gt;10),"",AS211&amp;AT211)</f>
      </c>
      <c r="AS211" s="163">
        <f>IF(AS194=1," один",IF(AS194=2," два",IF(AS194=3," три",IF(AS194=4," четыре",IF(AS194=5," пять",IF(AS194=6," шесть",IF(AS194=7," семь","")))))))</f>
      </c>
      <c r="AT211" s="163">
        <f>IF(AS194=8," восемь",IF(AS194=9," девять",""))</f>
      </c>
      <c r="AU211" s="163">
        <f>IF(AND(AR211="",AR212="",AR213="",AR214=""),"",IF(AND(AS195&lt;20,AS195&gt;10)," миллионов",IF(AS194=1," миллион",IF(OR(AS194=2,AS194=3,AS194=4)," миллиона"," миллионов"))))</f>
      </c>
      <c r="AV211" s="163"/>
      <c r="AW211" s="121"/>
      <c r="BK211" s="120"/>
      <c r="BL211" s="120"/>
      <c r="BM211" s="120"/>
      <c r="BN211" s="120"/>
      <c r="BO211" s="120"/>
      <c r="BP211" s="120"/>
    </row>
    <row r="212" spans="38:68" s="164" customFormat="1" ht="12" customHeight="1" hidden="1">
      <c r="AL212" s="163"/>
      <c r="AM212" s="163"/>
      <c r="AN212" s="163"/>
      <c r="AO212" s="163"/>
      <c r="AP212" s="163">
        <f>IF(SUM(AS197:AS201)=0,PROPER(AR212),AR212)</f>
      </c>
      <c r="AQ212" s="163">
        <v>10</v>
      </c>
      <c r="AR212" s="171">
        <f>AS212&amp;AT212</f>
      </c>
      <c r="AS212" s="163">
        <f>IF(AS195=11," одиннадцать",IF(AS195=12," двенадцать",IF(AS195=13," тринадцать",IF(AS195=14," четырнадцать",IF(AS195=15," пятнадцать",IF(AS195=16," шестнадцать",IF(AS195=17," семнадцать","")))))))</f>
      </c>
      <c r="AT212" s="163">
        <f>IF(AS195=18," восемнадцать",IF(AS195=19," девятнадцать",""))</f>
      </c>
      <c r="AU212" s="163"/>
      <c r="AV212" s="163"/>
      <c r="AW212" s="121"/>
      <c r="BK212" s="120"/>
      <c r="BL212" s="120"/>
      <c r="BM212" s="120"/>
      <c r="BN212" s="120"/>
      <c r="BO212" s="120"/>
      <c r="BP212" s="120"/>
    </row>
    <row r="213" spans="38:68" s="164" customFormat="1" ht="12" customHeight="1" hidden="1">
      <c r="AL213" s="163"/>
      <c r="AM213" s="163"/>
      <c r="AN213" s="163"/>
      <c r="AO213" s="163"/>
      <c r="AP213" s="163">
        <f>IF(SUM(AS197:AS201)=0,PROPER(AR213),AR213)</f>
      </c>
      <c r="AQ213" s="163">
        <v>11</v>
      </c>
      <c r="AR213" s="171">
        <f>IF(AND(AS195&lt;20,AS195&gt;10),"",AS213&amp;AT213)</f>
      </c>
      <c r="AS213" s="163">
        <f>IF(AS196=10," десять",IF(AS196=20," двадцать",IF(AS196=30," тридцать",IF(AS196=40," сорок",IF(AS196=50," пятьдесят",IF(AS196=60," шестьдесят",""))))))</f>
      </c>
      <c r="AT213" s="163">
        <f>IF(AS196=70," семьдесят",IF(AS196=80," восемьдесят",IF(AS196=90," девяносто","")))</f>
      </c>
      <c r="AU213" s="163"/>
      <c r="AV213" s="163"/>
      <c r="AW213" s="121"/>
      <c r="BK213" s="120"/>
      <c r="BL213" s="120"/>
      <c r="BM213" s="120"/>
      <c r="BN213" s="120"/>
      <c r="BO213" s="120"/>
      <c r="BP213" s="120"/>
    </row>
    <row r="214" spans="38:68" s="164" customFormat="1" ht="12" customHeight="1" hidden="1">
      <c r="AL214" s="163"/>
      <c r="AM214" s="163"/>
      <c r="AN214" s="163"/>
      <c r="AO214" s="163"/>
      <c r="AP214" s="163">
        <f>IF(SUM(AS198:AS201)=0,PROPER(AR214),AR214)</f>
      </c>
      <c r="AQ214" s="163">
        <v>12</v>
      </c>
      <c r="AR214" s="171">
        <f>AS214&amp;AT214</f>
      </c>
      <c r="AS214" s="163">
        <f>IF(AS197=100," сто",IF(AS197=200," двести",IF(AS197=300," триста",IF(AS197=400," четыреста",IF(AS197=500," пятьсот",IF(AS197=600," шестьсот",""))))))</f>
      </c>
      <c r="AT214" s="163">
        <f>IF(AS197=700," семьсот",IF(AS197=800," восемьсот",IF(AS197=900," девятьсот","")))</f>
      </c>
      <c r="AU214" s="163"/>
      <c r="AV214" s="163"/>
      <c r="AW214" s="121"/>
      <c r="BK214" s="120"/>
      <c r="BL214" s="120"/>
      <c r="BM214" s="120"/>
      <c r="BN214" s="120"/>
      <c r="BO214" s="120"/>
      <c r="BP214" s="120"/>
    </row>
    <row r="215" spans="38:68" s="164" customFormat="1" ht="12" customHeight="1" hidden="1">
      <c r="AL215" s="163"/>
      <c r="AM215" s="163"/>
      <c r="AN215" s="163"/>
      <c r="AO215" s="163"/>
      <c r="AP215" s="163">
        <f>IF(SUM(AS199:AS201)=0,PROPER(AR215),AR215)</f>
      </c>
      <c r="AQ215" s="163">
        <v>13</v>
      </c>
      <c r="AR215" s="171">
        <f>IF(AND(AS199&lt;20,AS199&gt;10),"",AS215&amp;AT215)</f>
      </c>
      <c r="AS215" s="163">
        <f>IF(AS198=1," один",IF(AS198=2," два",IF(AS198=3," три",IF(AS198=4," четыре",IF(AS198=5," пять",IF(AS198=6," шесть",IF(AS198=7," семь","")))))))</f>
      </c>
      <c r="AT215" s="163">
        <f>IF(AS198=8," восемь",IF(AS198=9," девять",""))</f>
      </c>
      <c r="AU215" s="163">
        <f>IF(AND(AR215="",AR216="",AR217="",AR218=""),"",IF(AND(AS199&lt;20,AS199&gt;10)," миллиардов",IF(AS198=1," миллиард",IF(OR(AS198=2,AS198=3,AS198=4)," миллиарда"," миллиардов"))))</f>
      </c>
      <c r="AV215" s="163"/>
      <c r="AW215" s="121"/>
      <c r="BK215" s="120"/>
      <c r="BL215" s="120"/>
      <c r="BM215" s="120"/>
      <c r="BN215" s="120"/>
      <c r="BO215" s="120"/>
      <c r="BP215" s="120"/>
    </row>
    <row r="216" spans="38:68" s="164" customFormat="1" ht="12" customHeight="1" hidden="1">
      <c r="AL216" s="163"/>
      <c r="AM216" s="163"/>
      <c r="AN216" s="163"/>
      <c r="AO216" s="163"/>
      <c r="AP216" s="163">
        <f>IF(AS201=0,PROPER(AR216),AR216)</f>
      </c>
      <c r="AQ216" s="163">
        <v>14</v>
      </c>
      <c r="AR216" s="171">
        <f>AS216&amp;AT216</f>
      </c>
      <c r="AS216" s="163">
        <f>IF(AS199=11," одиннадцать",IF(AS199=12," двенадцать",IF(AS199=13," тринадцать",IF(AS199=14," четырнадцать",IF(AS199=15," пятнадцать",IF(AS199=16," шестнадцать",IF(AS199=17," семнадцать","")))))))</f>
      </c>
      <c r="AT216" s="163">
        <f>IF(AS199=18," восемнадцать",IF(AS199=19," девятнадцать",""))</f>
      </c>
      <c r="AU216" s="163"/>
      <c r="AV216" s="163"/>
      <c r="AW216" s="121"/>
      <c r="BK216" s="120"/>
      <c r="BL216" s="120"/>
      <c r="BM216" s="120"/>
      <c r="BN216" s="120"/>
      <c r="BO216" s="120"/>
      <c r="BP216" s="120"/>
    </row>
    <row r="217" spans="38:68" s="164" customFormat="1" ht="12" customHeight="1" hidden="1">
      <c r="AL217" s="163"/>
      <c r="AM217" s="163"/>
      <c r="AN217" s="163"/>
      <c r="AO217" s="163"/>
      <c r="AP217" s="163">
        <f>IF(SUM(AS201)=0,PROPER(AR217),AR217)</f>
      </c>
      <c r="AQ217" s="163">
        <v>15</v>
      </c>
      <c r="AR217" s="171">
        <f>IF(AND(AS199&lt;20,AS199&gt;10),"",AS217&amp;AT217)</f>
      </c>
      <c r="AS217" s="163">
        <f>IF(AS200=10," десять",IF(AS200=20," двадцать",IF(AS200=30," тридцать",IF(AS200=40," сорок",IF(AS200=50," пятьдесят",IF(AS200=60," шестьдесят",""))))))</f>
      </c>
      <c r="AT217" s="163">
        <f>IF(AS200=70," семьдесят",IF(AS200=80," восемьдесят",IF(AS200=90," девяносто","")))</f>
      </c>
      <c r="AU217" s="163"/>
      <c r="AV217" s="163"/>
      <c r="AW217" s="121"/>
      <c r="BK217" s="120"/>
      <c r="BL217" s="120"/>
      <c r="BM217" s="120"/>
      <c r="BN217" s="120"/>
      <c r="BO217" s="120"/>
      <c r="BP217" s="120"/>
    </row>
    <row r="218" spans="38:68" s="164" customFormat="1" ht="12" customHeight="1" hidden="1">
      <c r="AL218" s="163"/>
      <c r="AM218" s="163"/>
      <c r="AN218" s="163"/>
      <c r="AO218" s="163"/>
      <c r="AP218" s="163">
        <f>PROPER(AR218)</f>
      </c>
      <c r="AQ218" s="163">
        <v>16</v>
      </c>
      <c r="AR218" s="171">
        <f>AS218&amp;AT218</f>
      </c>
      <c r="AS218" s="163">
        <f>IF(AS201=100," сто",IF(AS201=200," двести",IF(AS201=300," триста",IF(AS201=400," четыреста",IF(AS201=500," пятьсот",IF(AS201=600," шестьсот",""))))))</f>
      </c>
      <c r="AT218" s="163">
        <f>IF(AS201=700," семьсот",IF(AS201=800," восемьсот",IF(AS201=900," девятьсот","")))</f>
      </c>
      <c r="AU218" s="163"/>
      <c r="AV218" s="163"/>
      <c r="AW218" s="121"/>
      <c r="BK218" s="120"/>
      <c r="BL218" s="120"/>
      <c r="BM218" s="120"/>
      <c r="BN218" s="120"/>
      <c r="BO218" s="120"/>
      <c r="BP218" s="120"/>
    </row>
    <row r="219" spans="64:120" s="125" customFormat="1" ht="12" customHeight="1" hidden="1">
      <c r="BL219" s="120"/>
      <c r="BM219" s="120"/>
      <c r="BN219" s="120"/>
      <c r="BO219" s="120"/>
      <c r="DJ219" s="183">
        <f>TRUNC(DJ221/10)</f>
        <v>0</v>
      </c>
      <c r="DK219" s="184">
        <f>TRUNC(RIGHT(DJ219))</f>
        <v>0</v>
      </c>
      <c r="DL219" s="185">
        <f>IF(DK218=1,DK219+10,IF(DK219=0,0,DK219))</f>
        <v>0</v>
      </c>
      <c r="DM219" s="185">
        <f>IF(AND(DL219&gt;9,DL219&lt;16),IF(DL219=10,DM236,IF(DL219=11,DM237,IF(DL219=12,DM238,IF(DL219=13,DM239,IF(DL219=14,DM240,IF(DL219=15,DM241,)))))),"")</f>
      </c>
      <c r="DN219" s="186">
        <f>IF(DK219=1,DJ236,IF(DK219=2,DJ237,IF(DK219=3,DJ238,IF(DK219=4,DJ239,IF(DK219=5,DJ240,IF(DK219=6,DJ241,IF(DK219=7,DJ242,IF(DK219=8,DJ243,DJ244))))))))</f>
        <v>0</v>
      </c>
      <c r="DO219" s="185">
        <f>IF(AND(DL219&gt;15,DL219&lt;20),IF(DL219=16,DM242,IF(DL219=17,DM243,IF(DL219=18,DM244,IF(DL219=19,DM245,)))),"")</f>
      </c>
      <c r="DP219" s="185"/>
    </row>
    <row r="220" spans="64:120" s="180" customFormat="1" ht="12" customHeight="1">
      <c r="BL220" s="213"/>
      <c r="BM220" s="213"/>
      <c r="BN220" s="213"/>
      <c r="BO220" s="213"/>
      <c r="DJ220" s="214"/>
      <c r="DK220" s="215"/>
      <c r="DL220" s="216"/>
      <c r="DM220" s="215"/>
      <c r="DN220" s="216">
        <f>DK219+DK218*10+DK217*100</f>
        <v>0</v>
      </c>
      <c r="DO220" s="216">
        <f>IF(DN220=0,"",IF(DK218=1,"миллиардов ",IF(DK219=1,"миллиард ",IF(OR(DK219=2,DK219=3,DK219=4),"миллиарда ","миллиардов "))))</f>
      </c>
      <c r="DP220" s="216"/>
    </row>
    <row r="221" spans="64:120" s="180" customFormat="1" ht="12" customHeight="1">
      <c r="BL221" s="213"/>
      <c r="BM221" s="213"/>
      <c r="BN221" s="213"/>
      <c r="BO221" s="213"/>
      <c r="DJ221" s="214">
        <f>TRUNC(DJ222/10)</f>
        <v>0</v>
      </c>
      <c r="DK221" s="215">
        <f>TRUNC(RIGHT(DJ221))</f>
        <v>0</v>
      </c>
      <c r="DL221" s="216">
        <f>DK221</f>
        <v>0</v>
      </c>
      <c r="DM221" s="216"/>
      <c r="DN221" s="216">
        <f>IF(DK221=1,DN245,IF(DK221=2,DP237,IF(DK221=3,DP238,IF(DK221=4,DP239,IF(DK221=5,DP240,IF(DK221=6,DP241,IF(DK221=7,DP242,IF(DK221=8,DP243,DP244))))))))</f>
        <v>0</v>
      </c>
      <c r="DO221" s="216"/>
      <c r="DP221" s="216"/>
    </row>
    <row r="222" spans="63:127" s="180" customFormat="1" ht="12" customHeight="1">
      <c r="BK222" s="125"/>
      <c r="BL222" s="120"/>
      <c r="BM222" s="120"/>
      <c r="BN222" s="120"/>
      <c r="BO222" s="120"/>
      <c r="BP222" s="125"/>
      <c r="DI222" s="125"/>
      <c r="DJ222" s="183">
        <f>TRUNC(DJ223/10)</f>
        <v>0</v>
      </c>
      <c r="DK222" s="184">
        <f>TRUNC(RIGHT(DJ222))</f>
        <v>0</v>
      </c>
      <c r="DL222" s="185">
        <f>IF(DK222=1,"",DK222)</f>
        <v>0</v>
      </c>
      <c r="DM222" s="185"/>
      <c r="DN222" s="186">
        <f>IF(OR(DL222=0,DK222=1),"",IF(DK222=2,DN237,IF(DK222=3,DN238,IF(DK222=4,DN239,IF(DK222=5,DN240,IF(DK222=6,DN241,IF(DK222=7,DN242,IF(DK222=8,DN243,DN244))))))))</f>
      </c>
      <c r="DO222" s="185"/>
      <c r="DP222" s="187"/>
      <c r="DQ222" s="125"/>
      <c r="DR222" s="125"/>
      <c r="DS222" s="125"/>
      <c r="DT222" s="125"/>
      <c r="DU222" s="125"/>
      <c r="DV222" s="125"/>
      <c r="DW222" s="125"/>
    </row>
    <row r="223" spans="63:127" s="180" customFormat="1" ht="12" customHeight="1">
      <c r="BK223" s="125"/>
      <c r="BL223" s="120"/>
      <c r="BM223" s="120"/>
      <c r="BN223" s="120"/>
      <c r="BO223" s="120"/>
      <c r="BP223" s="125"/>
      <c r="DI223" s="125"/>
      <c r="DJ223" s="125"/>
      <c r="DK223" s="203" t="e">
        <f>TRUNC(DK225/10)</f>
        <v>#VALUE!</v>
      </c>
      <c r="DL223" s="199" t="e">
        <f>TRUNC(RIGHT(DK223))</f>
        <v>#VALUE!</v>
      </c>
      <c r="DM223" s="195" t="e">
        <f>IF(DL222=1,DL223+10,IF(DL223=0,0,DL223))</f>
        <v>#VALUE!</v>
      </c>
      <c r="DN223" s="195" t="e">
        <f>IF(AND(DM223&gt;9,DM223&lt;16),IF(DM223=10,DN240,IF(DM223=11,DN241,IF(DM223=12,DN242,IF(DM223=13,DN243,IF(DM223=14,DN244,IF(DM223=15,DN245,)))))),"")</f>
        <v>#VALUE!</v>
      </c>
      <c r="DO223" s="200" t="e">
        <f>IF(DL223=1,DK240,IF(DL223=2,DK241,IF(DL223=3,DK242,IF(DL223=4,DK243,IF(DL223=5,DK244,IF(DL223=6,DK245,IF(DL223=7,DK246,IF(DL223=8,DK247,DK248))))))))</f>
        <v>#VALUE!</v>
      </c>
      <c r="DP223" s="195" t="e">
        <f>IF(AND(DM223&gt;15,DM223&lt;20),IF(DM223=16,DN246,IF(DM223=17,DN247,IF(DM223=18,DN248,IF(DM223=19,DN249,)))),"")</f>
        <v>#VALUE!</v>
      </c>
      <c r="DQ223" s="195"/>
      <c r="DR223" s="125"/>
      <c r="DS223" s="125"/>
      <c r="DT223" s="125"/>
      <c r="DU223" s="125"/>
      <c r="DV223" s="125"/>
      <c r="DW223" s="125"/>
    </row>
    <row r="224" spans="115:121" ht="12" customHeight="1">
      <c r="DK224" s="203"/>
      <c r="DL224" s="199"/>
      <c r="DM224" s="195"/>
      <c r="DN224" s="199"/>
      <c r="DO224" s="195" t="e">
        <f>DL223+DL222*10+DL221*100</f>
        <v>#VALUE!</v>
      </c>
      <c r="DP224" s="195" t="e">
        <f>IF(DO224=0,"",IF(DL222=1,"миллиардов ",IF(DL223=1,"миллиард ",IF(OR(DL223=2,DL223=3,DL223=4),"миллиарда ","миллиардов "))))</f>
        <v>#VALUE!</v>
      </c>
      <c r="DQ224" s="195"/>
    </row>
    <row r="225" spans="115:121" ht="12" customHeight="1">
      <c r="DK225" s="203" t="e">
        <f>TRUNC(DK226/10)</f>
        <v>#VALUE!</v>
      </c>
      <c r="DL225" s="199" t="e">
        <f>TRUNC(RIGHT(DK225))</f>
        <v>#VALUE!</v>
      </c>
      <c r="DM225" s="195" t="e">
        <f>DL225</f>
        <v>#VALUE!</v>
      </c>
      <c r="DN225" s="195"/>
      <c r="DO225" s="195" t="e">
        <f>IF(DL225=1,DO249,IF(DL225=2,DQ241,IF(DL225=3,DQ242,IF(DL225=4,DQ243,IF(DL225=5,DQ244,IF(DL225=6,DQ245,IF(DL225=7,DQ246,IF(DL225=8,DQ247,DQ248))))))))</f>
        <v>#VALUE!</v>
      </c>
      <c r="DP225" s="195"/>
      <c r="DQ225" s="195"/>
    </row>
    <row r="226" spans="115:121" ht="12" customHeight="1">
      <c r="DK226" s="203" t="e">
        <f>TRUNC(DK227/10)</f>
        <v>#VALUE!</v>
      </c>
      <c r="DL226" s="199" t="e">
        <f>TRUNC(RIGHT(DK226))</f>
        <v>#VALUE!</v>
      </c>
      <c r="DM226" s="195" t="e">
        <f>IF(DL226=1,"",DL226)</f>
        <v>#VALUE!</v>
      </c>
      <c r="DN226" s="195"/>
      <c r="DO226" s="200" t="e">
        <f>IF(OR(DM226=0,DL226=1),"",IF(DL226=2,DO241,IF(DL226=3,DO242,IF(DL226=4,DO243,IF(DL226=5,DO244,IF(DL226=6,DO245,IF(DL226=7,DO246,IF(DL226=8,DO247,DO248))))))))</f>
        <v>#VALUE!</v>
      </c>
      <c r="DP226" s="195"/>
      <c r="DQ226" s="187"/>
    </row>
    <row r="227" spans="115:121" ht="12" customHeight="1">
      <c r="DK227" s="203" t="e">
        <f>TRUNC(DK229/10)</f>
        <v>#VALUE!</v>
      </c>
      <c r="DL227" s="199" t="e">
        <f>TRUNC(RIGHT(DK227))</f>
        <v>#VALUE!</v>
      </c>
      <c r="DM227" s="195" t="e">
        <f>IF(DL226=1,DL227+10,IF(DL227=0,0,DL227))</f>
        <v>#VALUE!</v>
      </c>
      <c r="DN227" s="195" t="e">
        <f>IF(AND(DM227&gt;9,DM227&lt;16),IF(DM227=10,DN240,IF(DM227=11,DN241,IF(DM227=12,DN242,IF(DM227=13,DN243,IF(DM227=14,DN244,IF(DM227=15,DN245,)))))),"")</f>
        <v>#VALUE!</v>
      </c>
      <c r="DO227" s="200" t="e">
        <f>IF(DL227=1,DK240,IF(DL227=2,DK241,IF(DL227=3,DK242,IF(DL227=4,DK243,IF(DL227=5,DK244,IF(DL227=6,DK245,IF(DL227=7,DK246,IF(DL227=8,DK247,DK248))))))))</f>
        <v>#VALUE!</v>
      </c>
      <c r="DP227" s="195" t="e">
        <f>IF(AND(DM227&gt;15,DM227&lt;20),IF(DM227=16,DN246,IF(DM227=17,DN247,IF(DM227=18,DN248,IF(DM227=19,DN249,)))),"")</f>
        <v>#VALUE!</v>
      </c>
      <c r="DQ227" s="195"/>
    </row>
    <row r="228" spans="115:121" ht="12" customHeight="1">
      <c r="DK228" s="203"/>
      <c r="DL228" s="199"/>
      <c r="DM228" s="195"/>
      <c r="DN228" s="195"/>
      <c r="DO228" s="195" t="e">
        <f>DL227+DL226*10+DL225*100</f>
        <v>#VALUE!</v>
      </c>
      <c r="DP228" s="195" t="e">
        <f>IF(DO228=0,"",IF(DL226=1,"миллионов ",IF(DL227=1,"миллион ",IF(OR(DL227=2,DL227=3,DL227=4),"миллиона ","миллионов "))))</f>
        <v>#VALUE!</v>
      </c>
      <c r="DQ228" s="195"/>
    </row>
    <row r="229" spans="115:121" ht="12" customHeight="1">
      <c r="DK229" s="203" t="e">
        <f>TRUNC(DK230/10)</f>
        <v>#VALUE!</v>
      </c>
      <c r="DL229" s="199" t="e">
        <f>TRUNC(RIGHT(DK229))</f>
        <v>#VALUE!</v>
      </c>
      <c r="DM229" s="195" t="e">
        <f>DL229</f>
        <v>#VALUE!</v>
      </c>
      <c r="DN229" s="195"/>
      <c r="DO229" s="195" t="e">
        <f>IF(DL229=1,DO249,IF(DL229=2,DQ241,IF(DL229=3,DQ242,IF(DL229=4,DQ243,IF(DL229=5,DQ244,IF(DL229=6,DQ245,IF(DL229=7,DQ246,IF(DL229=8,DQ247,DQ248))))))))</f>
        <v>#VALUE!</v>
      </c>
      <c r="DP229" s="195"/>
      <c r="DQ229" s="195"/>
    </row>
    <row r="230" spans="115:121" ht="12" customHeight="1">
      <c r="DK230" s="203" t="e">
        <f>TRUNC(DK231/10)</f>
        <v>#VALUE!</v>
      </c>
      <c r="DL230" s="199" t="e">
        <f>TRUNC(RIGHT(DK230))</f>
        <v>#VALUE!</v>
      </c>
      <c r="DM230" s="195" t="e">
        <f>IF(DL230=1,"",DL230)</f>
        <v>#VALUE!</v>
      </c>
      <c r="DN230" s="195"/>
      <c r="DO230" s="200" t="e">
        <f>IF(OR(DM230=0,DL230=1),"",IF(DL230=2,DO241,IF(DL230=3,DO242,IF(DL230=4,DO243,IF(DL230=5,DO244,IF(DL230=6,DO245,IF(DL230=7,DO246,IF(DL230=8,DO247,DO248))))))))</f>
        <v>#VALUE!</v>
      </c>
      <c r="DP230" s="195"/>
      <c r="DQ230" s="195"/>
    </row>
    <row r="231" spans="115:121" ht="12" customHeight="1">
      <c r="DK231" s="203" t="e">
        <f>TRUNC(DK233/10)</f>
        <v>#VALUE!</v>
      </c>
      <c r="DL231" s="199" t="e">
        <f>TRUNC(RIGHT(DK231))</f>
        <v>#VALUE!</v>
      </c>
      <c r="DM231" s="195" t="e">
        <f>IF(DL230=1,DL231+10,IF(DL231=0,0,DL231))</f>
        <v>#VALUE!</v>
      </c>
      <c r="DN231" s="195" t="e">
        <f>IF(AND(DM231&gt;9,DM231&lt;16),IF(DM231=10,DN240,IF(DM231=11,DN241,IF(DM231=12,DN242,IF(DM231=13,DN243,IF(DM231=14,DN244,IF(DM231=15,DN245,)))))),"")</f>
        <v>#VALUE!</v>
      </c>
      <c r="DO231" s="200" t="e">
        <f>IF(DL231=1,DL240,IF(DL231=2,DL241,IF(DL231=3,DK242,IF(DL231=4,DK243,IF(DL231=5,DK244,IF(DL231=6,DK245,IF(DL231=7,DK246,IF(DL231=8,DK247,DK248))))))))</f>
        <v>#VALUE!</v>
      </c>
      <c r="DP231" s="195" t="e">
        <f>IF(AND(DM231&gt;15,DM231&lt;20),IF(DM231=16,DN246,IF(DM231=17,DN247,IF(DM231=18,DN248,IF(DM231=19,DN249,)))),"")</f>
        <v>#VALUE!</v>
      </c>
      <c r="DQ231" s="195"/>
    </row>
    <row r="232" spans="115:121" ht="12" customHeight="1">
      <c r="DK232" s="203"/>
      <c r="DL232" s="199"/>
      <c r="DM232" s="195"/>
      <c r="DN232" s="195"/>
      <c r="DO232" s="200" t="e">
        <f>DL229*100+DL230*10+DL231</f>
        <v>#VALUE!</v>
      </c>
      <c r="DP232" s="195" t="e">
        <f>IF(DO232=0,"",IF(DL230=1,"тысяч ",IF(DL231=1,"тысяча ",IF(OR(DL231=2,DL231=3,DL231=4),"тысячи ","тысяч "))))</f>
        <v>#VALUE!</v>
      </c>
      <c r="DQ232" s="195"/>
    </row>
    <row r="233" spans="115:121" ht="12" customHeight="1">
      <c r="DK233" s="203" t="e">
        <f>TRUNC(DK234/10)</f>
        <v>#VALUE!</v>
      </c>
      <c r="DL233" s="199" t="e">
        <f>TRUNC(RIGHT(DK233))</f>
        <v>#VALUE!</v>
      </c>
      <c r="DM233" s="195" t="e">
        <f>DL233</f>
        <v>#VALUE!</v>
      </c>
      <c r="DN233" s="195"/>
      <c r="DO233" s="195" t="e">
        <f>IF(DL233=1,DO249,IF(DL233=2,DQ241,IF(DL233=3,DQ242,IF(DL233=4,DQ243,IF(DL233=5,DQ244,IF(DL233=6,DQ245,IF(DL233=7,DQ246,IF(DL233=8,DQ247,DQ248))))))))</f>
        <v>#VALUE!</v>
      </c>
      <c r="DP233" s="195"/>
      <c r="DQ233" s="195"/>
    </row>
    <row r="234" spans="115:121" ht="12" customHeight="1">
      <c r="DK234" s="203" t="e">
        <f>TRUNC(DK235/10)</f>
        <v>#VALUE!</v>
      </c>
      <c r="DL234" s="204" t="e">
        <f>TRUNC(RIGHT(DK234))</f>
        <v>#VALUE!</v>
      </c>
      <c r="DM234" s="195" t="e">
        <f>IF(DL234=1,"",DL234)</f>
        <v>#VALUE!</v>
      </c>
      <c r="DN234" s="195"/>
      <c r="DO234" s="200" t="e">
        <f>IF(OR(DM234=0,DL234=1),"",IF(DM234=2,DO241,IF(DM234=3,DO242,IF(DM234=4,DO243,IF(DM234=5,DO244,IF(DM234=6,DO245,IF(DM234=7,DO246,IF(DM234=8,DO247,DO248))))))))</f>
        <v>#VALUE!</v>
      </c>
      <c r="DP234" s="195"/>
      <c r="DQ234" s="199"/>
    </row>
    <row r="235" spans="115:121" ht="12" customHeight="1">
      <c r="DK235" s="203">
        <f>DO219</f>
      </c>
      <c r="DL235" s="199" t="e">
        <f>TRUNC(RIGHT(DK235))</f>
        <v>#VALUE!</v>
      </c>
      <c r="DM235" s="195" t="e">
        <f>IF(DL234=1,DL235+10,IF(DL235=0,0,DL235))</f>
        <v>#VALUE!</v>
      </c>
      <c r="DN235" s="195" t="e">
        <f>IF(AND(DM235&gt;9,DM235&lt;16),IF(DM235=10,DN240,IF(DM235=11,DN241,IF(DM235=12,DN242,IF(DM235=13,DN243,IF(DM235=14,DN244,IF(DM235=15,DN245,)))))),"")</f>
        <v>#VALUE!</v>
      </c>
      <c r="DO235" s="200" t="e">
        <f>IF(DL235=1,DK240,IF(DL235=2,DK241,IF(DL235=3,DK242,IF(DL235=4,DK243,IF(DL235=5,DK244,IF(DL235=6,DK245,IF(DL235=7,DK246,IF(DL235=8,DK247,DK248))))))))</f>
        <v>#VALUE!</v>
      </c>
      <c r="DP235" s="195" t="e">
        <f>IF(AND(DM235&gt;15,DM235&lt;20),IF(DM235=16,DN246,IF(DM235=17,DN247,IF(DM235=18,DN248,IF(DM235=19,DN249,)))),"")</f>
        <v>#VALUE!</v>
      </c>
      <c r="DQ235" s="199"/>
    </row>
    <row r="236" spans="115:121" ht="12" customHeight="1">
      <c r="DK236" s="201"/>
      <c r="DL236" s="204"/>
      <c r="DM236" s="199"/>
      <c r="DN236" s="195"/>
      <c r="DO236" s="200" t="e">
        <f>DL233*100+DL234*10+DL235</f>
        <v>#VALUE!</v>
      </c>
      <c r="DP236" s="195" t="e">
        <f>IF(DO236+DO232+DO228+DO224=0,"ноль рублей ",IF(DM235=1,"рубль ",IF(OR(DM235=2,DM235=3,DM235=4),"рубля ","рублей ")))</f>
        <v>#VALUE!</v>
      </c>
      <c r="DQ236" s="199"/>
    </row>
    <row r="237" spans="115:121" ht="12" customHeight="1">
      <c r="DK237" s="205" t="e">
        <f>ROUND(100*(DO208-DO219),0)</f>
        <v>#VALUE!</v>
      </c>
      <c r="DL237" s="195"/>
      <c r="DM237" s="199" t="e">
        <f>TRUNC(DK237/10)</f>
        <v>#VALUE!</v>
      </c>
      <c r="DN237" s="195"/>
      <c r="DO237" s="200" t="e">
        <f>IF(OR(DM237=1,DM237=0),"",IF(DM237=2,DO241,IF(DM237=3,DO242,IF(DM237=4,DO243,IF(DM237=5,DO244,IF(DM237=6,DO245,IF(DM237=7,DO246,IF(DM237=8,DO247,DO248))))))))</f>
        <v>#VALUE!</v>
      </c>
      <c r="DP237" s="195"/>
      <c r="DQ237" s="195"/>
    </row>
    <row r="238" spans="115:121" ht="12" customHeight="1">
      <c r="DK238" s="195"/>
      <c r="DL238" s="195"/>
      <c r="DM238" s="199" t="e">
        <f>TRUNC(DK237-DM237*10)</f>
        <v>#VALUE!</v>
      </c>
      <c r="DN238" s="195"/>
      <c r="DO238" s="200" t="e">
        <f>IF(DM238=1,DL240,IF(DM238=2,DL241,IF(DM238=3,DK242,IF(DM238=4,DK243,IF(DM238=5,DK244,IF(DM238=6,DK245,IF(DM238=7,DK246,IF(DM238=8,DK247,DK248))))))))</f>
        <v>#VALUE!</v>
      </c>
      <c r="DP238" s="195"/>
      <c r="DQ238" s="195"/>
    </row>
    <row r="239" spans="115:121" ht="12" customHeight="1">
      <c r="DK239" s="195"/>
      <c r="DL239" s="195"/>
      <c r="DM239" s="195"/>
      <c r="DN239" s="195"/>
      <c r="DO239" s="195"/>
      <c r="DP239" s="195" t="s">
        <v>131</v>
      </c>
      <c r="DQ239" s="195"/>
    </row>
    <row r="240" spans="115:121" ht="12" customHeight="1">
      <c r="DK240" s="195" t="s">
        <v>49</v>
      </c>
      <c r="DL240" s="195" t="s">
        <v>50</v>
      </c>
      <c r="DM240" s="195"/>
      <c r="DN240" s="195" t="s">
        <v>51</v>
      </c>
      <c r="DO240" s="195"/>
      <c r="DP240" s="195"/>
      <c r="DQ240" s="195"/>
    </row>
    <row r="241" spans="114:123" ht="12" customHeight="1">
      <c r="DJ241" s="181"/>
      <c r="DK241" s="195" t="s">
        <v>52</v>
      </c>
      <c r="DL241" s="195" t="s">
        <v>53</v>
      </c>
      <c r="DM241" s="195"/>
      <c r="DN241" s="195" t="s">
        <v>54</v>
      </c>
      <c r="DO241" s="195" t="s">
        <v>55</v>
      </c>
      <c r="DP241" s="195"/>
      <c r="DQ241" s="195" t="s">
        <v>56</v>
      </c>
      <c r="DR241" s="181"/>
      <c r="DS241" s="181"/>
    </row>
    <row r="242" spans="114:123" ht="12" customHeight="1">
      <c r="DJ242" s="181"/>
      <c r="DK242" s="195" t="s">
        <v>57</v>
      </c>
      <c r="DL242" s="195"/>
      <c r="DM242" s="195"/>
      <c r="DN242" s="195" t="s">
        <v>58</v>
      </c>
      <c r="DO242" s="195" t="s">
        <v>59</v>
      </c>
      <c r="DP242" s="195"/>
      <c r="DQ242" s="195" t="s">
        <v>60</v>
      </c>
      <c r="DR242" s="181"/>
      <c r="DS242" s="181"/>
    </row>
    <row r="243" spans="114:123" ht="12" customHeight="1">
      <c r="DJ243" s="181"/>
      <c r="DK243" s="195" t="s">
        <v>61</v>
      </c>
      <c r="DL243" s="195"/>
      <c r="DM243" s="195"/>
      <c r="DN243" s="195" t="s">
        <v>62</v>
      </c>
      <c r="DO243" s="195" t="s">
        <v>63</v>
      </c>
      <c r="DP243" s="195"/>
      <c r="DQ243" s="195" t="s">
        <v>64</v>
      </c>
      <c r="DR243" s="181"/>
      <c r="DS243" s="181"/>
    </row>
    <row r="244" spans="114:123" ht="12" customHeight="1">
      <c r="DJ244" s="181"/>
      <c r="DK244" s="195" t="s">
        <v>65</v>
      </c>
      <c r="DL244" s="195"/>
      <c r="DM244" s="195"/>
      <c r="DN244" s="195" t="s">
        <v>66</v>
      </c>
      <c r="DO244" s="195" t="s">
        <v>67</v>
      </c>
      <c r="DP244" s="195"/>
      <c r="DQ244" s="195" t="s">
        <v>68</v>
      </c>
      <c r="DR244" s="181"/>
      <c r="DS244" s="181"/>
    </row>
    <row r="245" spans="114:123" ht="12" customHeight="1">
      <c r="DJ245" s="181"/>
      <c r="DK245" s="195" t="s">
        <v>69</v>
      </c>
      <c r="DL245" s="195"/>
      <c r="DM245" s="195"/>
      <c r="DN245" s="195" t="s">
        <v>70</v>
      </c>
      <c r="DO245" s="195" t="s">
        <v>71</v>
      </c>
      <c r="DP245" s="195"/>
      <c r="DQ245" s="195" t="s">
        <v>72</v>
      </c>
      <c r="DR245" s="181"/>
      <c r="DS245" s="181"/>
    </row>
    <row r="246" spans="114:123" ht="12" customHeight="1">
      <c r="DJ246" s="181"/>
      <c r="DK246" s="195" t="s">
        <v>73</v>
      </c>
      <c r="DL246" s="195"/>
      <c r="DM246" s="195"/>
      <c r="DN246" s="195" t="s">
        <v>74</v>
      </c>
      <c r="DO246" s="195" t="s">
        <v>75</v>
      </c>
      <c r="DP246" s="195"/>
      <c r="DQ246" s="195" t="s">
        <v>76</v>
      </c>
      <c r="DR246" s="181"/>
      <c r="DS246" s="181"/>
    </row>
    <row r="247" spans="114:123" ht="12" customHeight="1">
      <c r="DJ247" s="181"/>
      <c r="DK247" s="206" t="s">
        <v>77</v>
      </c>
      <c r="DL247" s="195"/>
      <c r="DM247" s="195"/>
      <c r="DN247" s="195" t="s">
        <v>78</v>
      </c>
      <c r="DO247" s="195" t="s">
        <v>79</v>
      </c>
      <c r="DP247" s="195"/>
      <c r="DQ247" s="195" t="s">
        <v>80</v>
      </c>
      <c r="DR247" s="181"/>
      <c r="DS247" s="181"/>
    </row>
    <row r="248" spans="114:123" ht="12" customHeight="1">
      <c r="DJ248" s="181"/>
      <c r="DK248" s="195" t="s">
        <v>81</v>
      </c>
      <c r="DL248" s="195"/>
      <c r="DM248" s="195"/>
      <c r="DN248" s="195" t="s">
        <v>82</v>
      </c>
      <c r="DO248" s="195" t="s">
        <v>83</v>
      </c>
      <c r="DP248" s="195"/>
      <c r="DQ248" s="195" t="s">
        <v>84</v>
      </c>
      <c r="DR248" s="181"/>
      <c r="DS248" s="181"/>
    </row>
    <row r="249" spans="114:123" ht="12" customHeight="1">
      <c r="DJ249" s="181"/>
      <c r="DK249" s="195"/>
      <c r="DL249" s="195"/>
      <c r="DM249" s="195"/>
      <c r="DN249" s="195" t="s">
        <v>85</v>
      </c>
      <c r="DO249" s="195" t="s">
        <v>86</v>
      </c>
      <c r="DP249" s="195"/>
      <c r="DQ249" s="195"/>
      <c r="DR249" s="181"/>
      <c r="DS249" s="181"/>
    </row>
    <row r="250" spans="114:123" ht="12" customHeight="1">
      <c r="DJ250" s="181"/>
      <c r="DK250" s="187"/>
      <c r="DL250" s="188"/>
      <c r="DM250" s="188"/>
      <c r="DN250" s="188"/>
      <c r="DO250" s="189">
        <f>AL50</f>
        <v>348052.94</v>
      </c>
      <c r="DP250" s="187"/>
      <c r="DQ250" s="190"/>
      <c r="DR250" s="181"/>
      <c r="DS250" s="181"/>
    </row>
    <row r="251" spans="114:123" ht="12" customHeight="1">
      <c r="DJ251" s="181"/>
      <c r="DK251" s="191" t="s">
        <v>44</v>
      </c>
      <c r="DL251" s="192" t="str">
        <f>SUBSTITUTE(DL253,DP257,DP258,1)</f>
        <v>Триста сорок восемь тысяч пятьдесят два рубля </v>
      </c>
      <c r="DM251" s="191"/>
      <c r="DN251" s="191"/>
      <c r="DO251" s="193"/>
      <c r="DP251" s="191"/>
      <c r="DQ251" s="191"/>
      <c r="DR251" s="181"/>
      <c r="DS251" s="181"/>
    </row>
    <row r="252" spans="114:123" ht="12" customHeight="1">
      <c r="DJ252" s="181"/>
      <c r="DK252" s="191" t="s">
        <v>45</v>
      </c>
      <c r="DL252" s="192" t="str">
        <f>SUBSTITUTE(DL254,DP257,DP258,1)</f>
        <v>Триста сорок восемь тысяч пятьдесят два рубля </v>
      </c>
      <c r="DM252" s="191"/>
      <c r="DN252" s="191"/>
      <c r="DO252" s="191"/>
      <c r="DP252" s="191"/>
      <c r="DQ252" s="191"/>
      <c r="DR252" s="181"/>
      <c r="DS252" s="181"/>
    </row>
    <row r="253" spans="115:123" ht="12" customHeight="1">
      <c r="DK253" s="191" t="s">
        <v>46</v>
      </c>
      <c r="DL253" s="192" t="str">
        <f>CONCATENATE(DK256,DK257,DK258,DK259,DK260)</f>
        <v>триста сорок восемь тысяч пятьдесят два рубля </v>
      </c>
      <c r="DM253" s="191"/>
      <c r="DN253" s="191"/>
      <c r="DO253" s="191"/>
      <c r="DP253" s="191"/>
      <c r="DQ253" s="191"/>
      <c r="DR253" s="191"/>
      <c r="DS253" s="192"/>
    </row>
    <row r="254" spans="115:123" ht="12" customHeight="1">
      <c r="DK254" s="191" t="s">
        <v>47</v>
      </c>
      <c r="DL254" s="192" t="str">
        <f>CONCATENATE(DK256,DK257,DK258,DK259,DK260,DL256,DL257,DM257)</f>
        <v>триста сорок восемь тысяч пятьдесят два рубля </v>
      </c>
      <c r="DM254" s="191"/>
      <c r="DN254" s="191"/>
      <c r="DO254" s="191"/>
      <c r="DP254" s="192"/>
      <c r="DQ254" s="192"/>
      <c r="DR254" s="191"/>
      <c r="DS254" s="192"/>
    </row>
    <row r="255" spans="115:123" ht="12" customHeight="1">
      <c r="DK255" s="187"/>
      <c r="DL255" s="187"/>
      <c r="DM255" s="187"/>
      <c r="DN255" s="194"/>
      <c r="DO255" s="187"/>
      <c r="DP255" s="187"/>
      <c r="DQ255" s="187"/>
      <c r="DR255" s="191"/>
      <c r="DS255" s="192"/>
    </row>
    <row r="256" spans="115:123" ht="12" customHeight="1">
      <c r="DK256" s="195">
        <f>CONCATENATE(IF(DL263=0,"",DO263),IF(DL264=0,"",IF(DM265&lt;20,IF(DM265&lt;16,IF(DM265&lt;10,DO264,DN265),DP265),DO264)),IF(DL265=0,"",IF(NOT(DL264=1),DO265,"")),DP266)</f>
      </c>
      <c r="DL256" s="187"/>
      <c r="DM256" s="187"/>
      <c r="DN256" s="194"/>
      <c r="DO256" s="187"/>
      <c r="DP256" s="196">
        <f>CODE(DL254)</f>
        <v>242</v>
      </c>
      <c r="DQ256" s="195"/>
      <c r="DR256" s="187"/>
      <c r="DS256" s="187"/>
    </row>
    <row r="257" spans="115:121" ht="12" customHeight="1">
      <c r="DK257" s="195">
        <f>CONCATENATE(IF(DL267=0,"",DO267),IF(DL268=0,"",IF(DM269&lt;20,IF(DM269&lt;16,IF(DM269&lt;10,DO268,DN269),DP269),DO268)),IF(DL269=0,"",IF(NOT(DL268=1),DO269,"")),DP270)</f>
      </c>
      <c r="DL257" s="197"/>
      <c r="DM257" s="187"/>
      <c r="DN257" s="198"/>
      <c r="DO257" s="187"/>
      <c r="DP257" s="196" t="str">
        <f>CHAR(DP256)</f>
        <v>т</v>
      </c>
      <c r="DQ257" s="195"/>
    </row>
    <row r="258" spans="115:121" ht="12" customHeight="1">
      <c r="DK258" s="195" t="str">
        <f>CONCATENATE(IF(DL271=0,"",DO271),IF(DL272=0,"",IF(DM273&lt;20,IF(DM273&lt;16,IF(DM273&lt;10,DO272,DN273),DP273),DO272)),IF(DL273=0,"",IF(NOT(DL272=1),DO273,"")),DP274)</f>
        <v>триста сорок восемь тысяч </v>
      </c>
      <c r="DL258" s="195"/>
      <c r="DM258" s="195"/>
      <c r="DN258" s="199"/>
      <c r="DO258" s="200"/>
      <c r="DP258" s="196" t="str">
        <f>PROPER(DP257)</f>
        <v>Т</v>
      </c>
      <c r="DQ258" s="195"/>
    </row>
    <row r="259" spans="115:121" ht="12" customHeight="1">
      <c r="DK259" s="195" t="str">
        <f>CONCATENATE(IF(DL275=0,"",DO275),IF(DL276=0,"",IF(DM277&lt;20,IF(DM277&lt;16,IF(DM277&lt;10,DO276,DN277),DP277),DO276)),IF(DL277=0,"",IF(NOT(DL276=1),DO277,"")),DP278)</f>
        <v>пятьдесят два рубля </v>
      </c>
      <c r="DL259" s="195"/>
      <c r="DM259" s="195"/>
      <c r="DN259" s="199"/>
      <c r="DO259" s="200"/>
      <c r="DP259" s="195"/>
      <c r="DQ259" s="195"/>
    </row>
    <row r="260" spans="115:121" ht="12" customHeight="1">
      <c r="DK260" s="201"/>
      <c r="DL260" s="195"/>
      <c r="DM260" s="195"/>
      <c r="DN260" s="199"/>
      <c r="DO260" s="200"/>
      <c r="DP260" s="195"/>
      <c r="DQ260" s="195"/>
    </row>
    <row r="261" spans="115:121" ht="12" customHeight="1">
      <c r="DK261" s="201"/>
      <c r="DL261" s="195"/>
      <c r="DM261" s="195"/>
      <c r="DN261" s="195"/>
      <c r="DO261" s="202">
        <f>TRUNC(DO250)</f>
        <v>348052</v>
      </c>
      <c r="DP261" s="195" t="s">
        <v>48</v>
      </c>
      <c r="DQ261" s="195"/>
    </row>
    <row r="262" spans="115:121" ht="12" customHeight="1">
      <c r="DK262" s="203">
        <f>TRUNC(DK263/10)</f>
        <v>0</v>
      </c>
      <c r="DL262" s="199"/>
      <c r="DM262" s="195"/>
      <c r="DN262" s="195"/>
      <c r="DO262" s="195"/>
      <c r="DP262" s="195"/>
      <c r="DQ262" s="195"/>
    </row>
    <row r="263" spans="115:121" ht="12" customHeight="1">
      <c r="DK263" s="203">
        <f>TRUNC(DK264/10)</f>
        <v>0</v>
      </c>
      <c r="DL263" s="199">
        <f>TRUNC(RIGHT(DK263))</f>
        <v>0</v>
      </c>
      <c r="DM263" s="195">
        <f>DL263</f>
        <v>0</v>
      </c>
      <c r="DN263" s="195"/>
      <c r="DO263" s="195" t="str">
        <f>IF(DL263=1,DO291,IF(DL263=2,DQ283,IF(DL263=3,DQ284,IF(DL263=4,DQ285,IF(DL263=5,DQ286,IF(DL263=6,DQ287,IF(DL263=7,DQ288,IF(DL263=8,DQ289,DQ290))))))))</f>
        <v>девятьсот </v>
      </c>
      <c r="DP263" s="195"/>
      <c r="DQ263" s="195"/>
    </row>
    <row r="264" spans="115:121" ht="12" customHeight="1">
      <c r="DK264" s="203">
        <f>TRUNC(DK265/10)</f>
        <v>0</v>
      </c>
      <c r="DL264" s="199">
        <f>TRUNC(RIGHT(DK264))</f>
        <v>0</v>
      </c>
      <c r="DM264" s="195">
        <f>IF(DL264=1,"",DL264)</f>
        <v>0</v>
      </c>
      <c r="DN264" s="195"/>
      <c r="DO264" s="200">
        <f>IF(OR(DM264=0,DL264=1),"",IF(DL264=2,DO283,IF(DL264=3,DO284,IF(DL264=4,DO285,IF(DL264=5,DO286,IF(DL264=6,DO287,IF(DL264=7,DO288,IF(DL264=8,DO289,DO290))))))))</f>
      </c>
      <c r="DP264" s="195"/>
      <c r="DQ264" s="195"/>
    </row>
    <row r="265" spans="115:121" ht="12" customHeight="1">
      <c r="DK265" s="203">
        <f>TRUNC(DK267/10)</f>
        <v>0</v>
      </c>
      <c r="DL265" s="199">
        <f>TRUNC(RIGHT(DK265))</f>
        <v>0</v>
      </c>
      <c r="DM265" s="195">
        <f>IF(DL264=1,DL265+10,IF(DL265=0,0,DL265))</f>
        <v>0</v>
      </c>
      <c r="DN265" s="195">
        <f>IF(AND(DM265&gt;9,DM265&lt;16),IF(DM265=10,DN282,IF(DM265=11,DN283,IF(DM265=12,DN284,IF(DM265=13,DN285,IF(DM265=14,DN286,IF(DM265=15,DN287,)))))),"")</f>
      </c>
      <c r="DO265" s="200" t="str">
        <f>IF(DL265=1,DK282,IF(DL265=2,DK283,IF(DL265=3,DK284,IF(DL265=4,DK285,IF(DL265=5,DK286,IF(DL265=6,DK287,IF(DL265=7,DK288,IF(DL265=8,DK289,DK290))))))))</f>
        <v>девять </v>
      </c>
      <c r="DP265" s="195">
        <f>IF(AND(DM265&gt;15,DM265&lt;20),IF(DM265=16,DN288,IF(DM265=17,DN289,IF(DM265=18,DN290,IF(DM265=19,DN291,)))),"")</f>
      </c>
      <c r="DQ265" s="195"/>
    </row>
    <row r="266" spans="115:121" ht="12" customHeight="1">
      <c r="DK266" s="203"/>
      <c r="DL266" s="199"/>
      <c r="DM266" s="195"/>
      <c r="DN266" s="199"/>
      <c r="DO266" s="195">
        <f>DL265+DL264*10+DL263*100</f>
        <v>0</v>
      </c>
      <c r="DP266" s="195">
        <f>IF(DO266=0,"",IF(DL264=1,"миллиардов ",IF(DL265=1,"миллиард ",IF(OR(DL265=2,DL265=3,DL265=4),"миллиарда ","миллиардов "))))</f>
      </c>
      <c r="DQ266" s="195"/>
    </row>
    <row r="267" spans="115:121" ht="12" customHeight="1">
      <c r="DK267" s="203">
        <f>TRUNC(DK268/10)</f>
        <v>0</v>
      </c>
      <c r="DL267" s="199">
        <f>TRUNC(RIGHT(DK267))</f>
        <v>0</v>
      </c>
      <c r="DM267" s="195">
        <f>DL267</f>
        <v>0</v>
      </c>
      <c r="DN267" s="195"/>
      <c r="DO267" s="195" t="str">
        <f>IF(DL267=1,DO291,IF(DL267=2,DQ283,IF(DL267=3,DQ284,IF(DL267=4,DQ285,IF(DL267=5,DQ286,IF(DL267=6,DQ287,IF(DL267=7,DQ288,IF(DL267=8,DQ289,DQ290))))))))</f>
        <v>девятьсот </v>
      </c>
      <c r="DP267" s="195"/>
      <c r="DQ267" s="195"/>
    </row>
    <row r="268" spans="115:121" ht="12" customHeight="1">
      <c r="DK268" s="203">
        <f>TRUNC(DK269/10)</f>
        <v>0</v>
      </c>
      <c r="DL268" s="199">
        <f>TRUNC(RIGHT(DK268))</f>
        <v>0</v>
      </c>
      <c r="DM268" s="195">
        <f>IF(DL268=1,"",DL268)</f>
        <v>0</v>
      </c>
      <c r="DN268" s="195"/>
      <c r="DO268" s="200">
        <f>IF(OR(DM268=0,DL268=1),"",IF(DL268=2,DO283,IF(DL268=3,DO284,IF(DL268=4,DO285,IF(DL268=5,DO286,IF(DL268=6,DO287,IF(DL268=7,DO288,IF(DL268=8,DO289,DO290))))))))</f>
      </c>
      <c r="DP268" s="195"/>
      <c r="DQ268" s="187"/>
    </row>
    <row r="269" spans="115:121" ht="12" customHeight="1">
      <c r="DK269" s="203">
        <f>TRUNC(DK271/10)</f>
        <v>0</v>
      </c>
      <c r="DL269" s="199">
        <f>TRUNC(RIGHT(DK269))</f>
        <v>0</v>
      </c>
      <c r="DM269" s="195">
        <f>IF(DL268=1,DL269+10,IF(DL269=0,0,DL269))</f>
        <v>0</v>
      </c>
      <c r="DN269" s="195">
        <f>IF(AND(DM269&gt;9,DM269&lt;16),IF(DM269=10,DN282,IF(DM269=11,DN283,IF(DM269=12,DN284,IF(DM269=13,DN285,IF(DM269=14,DN286,IF(DM269=15,DN287,)))))),"")</f>
      </c>
      <c r="DO269" s="200" t="str">
        <f>IF(DL269=1,DK282,IF(DL269=2,DK283,IF(DL269=3,DK284,IF(DL269=4,DK285,IF(DL269=5,DK286,IF(DL269=6,DK287,IF(DL269=7,DK288,IF(DL269=8,DK289,DK290))))))))</f>
        <v>девять </v>
      </c>
      <c r="DP269" s="195">
        <f>IF(AND(DM269&gt;15,DM269&lt;20),IF(DM269=16,DN288,IF(DM269=17,DN289,IF(DM269=18,DN290,IF(DM269=19,DN291,)))),"")</f>
      </c>
      <c r="DQ269" s="195"/>
    </row>
    <row r="270" spans="115:121" ht="12" customHeight="1">
      <c r="DK270" s="203"/>
      <c r="DL270" s="199"/>
      <c r="DM270" s="195"/>
      <c r="DN270" s="195"/>
      <c r="DO270" s="195">
        <f>DL269+DL268*10+DL267*100</f>
        <v>0</v>
      </c>
      <c r="DP270" s="195">
        <f>IF(DO270=0,"",IF(DL268=1,"миллионов ",IF(DL269=1,"миллион ",IF(OR(DL269=2,DL269=3,DL269=4),"миллиона ","миллионов "))))</f>
      </c>
      <c r="DQ270" s="195"/>
    </row>
    <row r="271" spans="115:121" ht="12" customHeight="1">
      <c r="DK271" s="203">
        <f>TRUNC(DK272/10)</f>
        <v>3</v>
      </c>
      <c r="DL271" s="199">
        <f>TRUNC(RIGHT(DK271))</f>
        <v>3</v>
      </c>
      <c r="DM271" s="195">
        <f>DL271</f>
        <v>3</v>
      </c>
      <c r="DN271" s="195"/>
      <c r="DO271" s="195" t="str">
        <f>IF(DL271=1,DO291,IF(DL271=2,DQ283,IF(DL271=3,DQ284,IF(DL271=4,DQ285,IF(DL271=5,DQ286,IF(DL271=6,DQ287,IF(DL271=7,DQ288,IF(DL271=8,DQ289,DQ290))))))))</f>
        <v>триста </v>
      </c>
      <c r="DP271" s="195"/>
      <c r="DQ271" s="195"/>
    </row>
    <row r="272" spans="115:121" ht="12" customHeight="1">
      <c r="DK272" s="203">
        <f>TRUNC(DK273/10)</f>
        <v>34</v>
      </c>
      <c r="DL272" s="199">
        <f>TRUNC(RIGHT(DK272))</f>
        <v>4</v>
      </c>
      <c r="DM272" s="195">
        <f>IF(DL272=1,"",DL272)</f>
        <v>4</v>
      </c>
      <c r="DN272" s="195"/>
      <c r="DO272" s="200" t="str">
        <f>IF(OR(DM272=0,DL272=1),"",IF(DL272=2,DO283,IF(DL272=3,DO284,IF(DL272=4,DO285,IF(DL272=5,DO286,IF(DL272=6,DO287,IF(DL272=7,DO288,IF(DL272=8,DO289,DO290))))))))</f>
        <v>сорок </v>
      </c>
      <c r="DP272" s="195"/>
      <c r="DQ272" s="195"/>
    </row>
    <row r="273" spans="115:121" ht="12" customHeight="1">
      <c r="DK273" s="203">
        <f>TRUNC(DK275/10)</f>
        <v>348</v>
      </c>
      <c r="DL273" s="199">
        <f>TRUNC(RIGHT(DK273))</f>
        <v>8</v>
      </c>
      <c r="DM273" s="195">
        <f>IF(DL272=1,DL273+10,IF(DL273=0,0,DL273))</f>
        <v>8</v>
      </c>
      <c r="DN273" s="195">
        <f>IF(AND(DM273&gt;9,DM273&lt;16),IF(DM273=10,DN282,IF(DM273=11,DN283,IF(DM273=12,DN284,IF(DM273=13,DN285,IF(DM273=14,DN286,IF(DM273=15,DN287,)))))),"")</f>
      </c>
      <c r="DO273" s="200" t="str">
        <f>IF(DL273=1,DL282,IF(DL273=2,DL283,IF(DL273=3,DK284,IF(DL273=4,DK285,IF(DL273=5,DK286,IF(DL273=6,DK287,IF(DL273=7,DK288,IF(DL273=8,DK289,DK290))))))))</f>
        <v>восемь </v>
      </c>
      <c r="DP273" s="195">
        <f>IF(AND(DM273&gt;15,DM273&lt;20),IF(DM273=16,DN288,IF(DM273=17,DN289,IF(DM273=18,DN290,IF(DM273=19,DN291,)))),"")</f>
      </c>
      <c r="DQ273" s="195"/>
    </row>
    <row r="274" spans="115:121" ht="12" customHeight="1">
      <c r="DK274" s="203"/>
      <c r="DL274" s="199"/>
      <c r="DM274" s="195"/>
      <c r="DN274" s="195"/>
      <c r="DO274" s="200">
        <f>DL271*100+DL272*10+DL273</f>
        <v>348</v>
      </c>
      <c r="DP274" s="195" t="str">
        <f>IF(DO274=0,"",IF(DL272=1,"тысяч ",IF(DL273=1,"тысяча ",IF(OR(DL273=2,DL273=3,DL273=4),"тысячи ","тысяч "))))</f>
        <v>тысяч </v>
      </c>
      <c r="DQ274" s="195"/>
    </row>
    <row r="275" spans="115:121" ht="12" customHeight="1">
      <c r="DK275" s="203">
        <f>TRUNC(DK276/10)</f>
        <v>3480</v>
      </c>
      <c r="DL275" s="199">
        <f>TRUNC(RIGHT(DK275))</f>
        <v>0</v>
      </c>
      <c r="DM275" s="195">
        <f>DL275</f>
        <v>0</v>
      </c>
      <c r="DN275" s="195"/>
      <c r="DO275" s="195" t="str">
        <f>IF(DL275=1,DO291,IF(DL275=2,DQ283,IF(DL275=3,DQ284,IF(DL275=4,DQ285,IF(DL275=5,DQ286,IF(DL275=6,DQ287,IF(DL275=7,DQ288,IF(DL275=8,DQ289,DQ290))))))))</f>
        <v>девятьсот </v>
      </c>
      <c r="DP275" s="195"/>
      <c r="DQ275" s="195"/>
    </row>
    <row r="276" spans="115:121" ht="12" customHeight="1">
      <c r="DK276" s="203">
        <f>TRUNC(DK277/10)</f>
        <v>34805</v>
      </c>
      <c r="DL276" s="204">
        <f>TRUNC(RIGHT(DK276))</f>
        <v>5</v>
      </c>
      <c r="DM276" s="195">
        <f>IF(DL276=1,"",DL276)</f>
        <v>5</v>
      </c>
      <c r="DN276" s="195"/>
      <c r="DO276" s="200" t="str">
        <f>IF(OR(DM276=0,DL276=1),"",IF(DM276=2,DO283,IF(DM276=3,DO284,IF(DM276=4,DO285,IF(DM276=5,DO286,IF(DM276=6,DO287,IF(DM276=7,DO288,IF(DM276=8,DO289,DO290))))))))</f>
        <v>пятьдесят </v>
      </c>
      <c r="DP276" s="195"/>
      <c r="DQ276" s="199"/>
    </row>
    <row r="277" spans="115:121" ht="12" customHeight="1">
      <c r="DK277" s="203">
        <f>DO261</f>
        <v>348052</v>
      </c>
      <c r="DL277" s="199">
        <f>TRUNC(RIGHT(DK277))</f>
        <v>2</v>
      </c>
      <c r="DM277" s="195">
        <f>IF(DL276=1,DL277+10,IF(DL277=0,0,DL277))</f>
        <v>2</v>
      </c>
      <c r="DN277" s="195">
        <f>IF(AND(DM277&gt;9,DM277&lt;16),IF(DM277=10,DN282,IF(DM277=11,DN283,IF(DM277=12,DN284,IF(DM277=13,DN285,IF(DM277=14,DN286,IF(DM277=15,DN287,)))))),"")</f>
      </c>
      <c r="DO277" s="200" t="str">
        <f>IF(DL277=1,DK282,IF(DL277=2,DK283,IF(DL277=3,DK284,IF(DL277=4,DK285,IF(DL277=5,DK286,IF(DL277=6,DK287,IF(DL277=7,DK288,IF(DL277=8,DK289,DK290))))))))</f>
        <v>два </v>
      </c>
      <c r="DP277" s="195">
        <f>IF(AND(DM277&gt;15,DM277&lt;20),IF(DM277=16,DN288,IF(DM277=17,DN289,IF(DM277=18,DN290,IF(DM277=19,DN291,)))),"")</f>
      </c>
      <c r="DQ277" s="199"/>
    </row>
    <row r="278" spans="115:121" ht="12" customHeight="1">
      <c r="DK278" s="201"/>
      <c r="DL278" s="204"/>
      <c r="DM278" s="199"/>
      <c r="DN278" s="195"/>
      <c r="DO278" s="200">
        <f>DL275*100+DL276*10+DL277</f>
        <v>52</v>
      </c>
      <c r="DP278" s="195" t="str">
        <f>IF(DO278+DO274+DO270+DO266=0,"ноль рублей ",IF(DM277=1,"рубль ",IF(OR(DM277=2,DM277=3,DM277=4),"рубля ","рублей ")))</f>
        <v>рубля </v>
      </c>
      <c r="DQ278" s="199"/>
    </row>
    <row r="279" spans="115:121" ht="12" customHeight="1">
      <c r="DK279" s="205">
        <f>ROUND(100*(DO250-DO261),0)</f>
        <v>94</v>
      </c>
      <c r="DL279" s="195"/>
      <c r="DM279" s="199">
        <f>TRUNC(DK279/10)</f>
        <v>9</v>
      </c>
      <c r="DN279" s="195"/>
      <c r="DO279" s="200" t="str">
        <f>IF(OR(DM279=1,DM279=0),"",IF(DM279=2,DO283,IF(DM279=3,DO284,IF(DM279=4,DO285,IF(DM279=5,DO286,IF(DM279=6,DO287,IF(DM279=7,DO288,IF(DM279=8,DO289,DO290))))))))</f>
        <v>девяносто </v>
      </c>
      <c r="DP279" s="195"/>
      <c r="DQ279" s="195"/>
    </row>
    <row r="280" spans="115:121" ht="12" customHeight="1">
      <c r="DK280" s="195"/>
      <c r="DL280" s="195"/>
      <c r="DM280" s="199">
        <f>TRUNC(DK279-DM279*10)</f>
        <v>4</v>
      </c>
      <c r="DN280" s="195"/>
      <c r="DO280" s="200" t="str">
        <f>IF(DM280=1,DL282,IF(DM280=2,DL283,IF(DM280=3,DK284,IF(DM280=4,DK285,IF(DM280=5,DK286,IF(DM280=6,DK287,IF(DM280=7,DK288,IF(DM280=8,DK289,DK290))))))))</f>
        <v>четыре </v>
      </c>
      <c r="DP280" s="195"/>
      <c r="DQ280" s="195"/>
    </row>
    <row r="281" spans="115:121" ht="12" customHeight="1">
      <c r="DK281" s="195"/>
      <c r="DL281" s="195"/>
      <c r="DM281" s="195"/>
      <c r="DN281" s="195"/>
      <c r="DO281" s="195"/>
      <c r="DP281" s="195" t="s">
        <v>131</v>
      </c>
      <c r="DQ281" s="195"/>
    </row>
    <row r="282" spans="115:121" ht="12" customHeight="1">
      <c r="DK282" s="195" t="s">
        <v>49</v>
      </c>
      <c r="DL282" s="195" t="s">
        <v>50</v>
      </c>
      <c r="DM282" s="195"/>
      <c r="DN282" s="195" t="s">
        <v>51</v>
      </c>
      <c r="DO282" s="195"/>
      <c r="DP282" s="195"/>
      <c r="DQ282" s="195"/>
    </row>
    <row r="283" spans="115:121" ht="12" customHeight="1">
      <c r="DK283" s="195" t="s">
        <v>52</v>
      </c>
      <c r="DL283" s="195" t="s">
        <v>53</v>
      </c>
      <c r="DM283" s="195"/>
      <c r="DN283" s="195" t="s">
        <v>54</v>
      </c>
      <c r="DO283" s="195" t="s">
        <v>55</v>
      </c>
      <c r="DP283" s="195"/>
      <c r="DQ283" s="195" t="s">
        <v>56</v>
      </c>
    </row>
    <row r="284" spans="115:121" ht="12" customHeight="1">
      <c r="DK284" s="195" t="s">
        <v>57</v>
      </c>
      <c r="DL284" s="195"/>
      <c r="DM284" s="195"/>
      <c r="DN284" s="195" t="s">
        <v>58</v>
      </c>
      <c r="DO284" s="195" t="s">
        <v>59</v>
      </c>
      <c r="DP284" s="195"/>
      <c r="DQ284" s="195" t="s">
        <v>60</v>
      </c>
    </row>
    <row r="285" spans="115:121" ht="12" customHeight="1">
      <c r="DK285" s="195" t="s">
        <v>61</v>
      </c>
      <c r="DL285" s="195"/>
      <c r="DM285" s="195"/>
      <c r="DN285" s="195" t="s">
        <v>62</v>
      </c>
      <c r="DO285" s="195" t="s">
        <v>63</v>
      </c>
      <c r="DP285" s="195"/>
      <c r="DQ285" s="195" t="s">
        <v>64</v>
      </c>
    </row>
    <row r="286" spans="115:121" ht="12" customHeight="1">
      <c r="DK286" s="195" t="s">
        <v>65</v>
      </c>
      <c r="DL286" s="195"/>
      <c r="DM286" s="195"/>
      <c r="DN286" s="195" t="s">
        <v>66</v>
      </c>
      <c r="DO286" s="195" t="s">
        <v>67</v>
      </c>
      <c r="DP286" s="195"/>
      <c r="DQ286" s="195" t="s">
        <v>68</v>
      </c>
    </row>
    <row r="287" spans="115:121" ht="12" customHeight="1">
      <c r="DK287" s="195" t="s">
        <v>69</v>
      </c>
      <c r="DL287" s="195"/>
      <c r="DM287" s="195"/>
      <c r="DN287" s="195" t="s">
        <v>70</v>
      </c>
      <c r="DO287" s="195" t="s">
        <v>71</v>
      </c>
      <c r="DP287" s="195"/>
      <c r="DQ287" s="195" t="s">
        <v>72</v>
      </c>
    </row>
    <row r="288" spans="115:121" ht="12" customHeight="1">
      <c r="DK288" s="195" t="s">
        <v>73</v>
      </c>
      <c r="DL288" s="195"/>
      <c r="DM288" s="195"/>
      <c r="DN288" s="195" t="s">
        <v>74</v>
      </c>
      <c r="DO288" s="195" t="s">
        <v>75</v>
      </c>
      <c r="DP288" s="195"/>
      <c r="DQ288" s="195" t="s">
        <v>76</v>
      </c>
    </row>
    <row r="289" spans="115:121" ht="12" customHeight="1">
      <c r="DK289" s="206" t="s">
        <v>77</v>
      </c>
      <c r="DL289" s="195"/>
      <c r="DM289" s="195"/>
      <c r="DN289" s="195" t="s">
        <v>78</v>
      </c>
      <c r="DO289" s="195" t="s">
        <v>79</v>
      </c>
      <c r="DP289" s="195"/>
      <c r="DQ289" s="195" t="s">
        <v>80</v>
      </c>
    </row>
    <row r="290" spans="115:121" ht="12" customHeight="1">
      <c r="DK290" s="195" t="s">
        <v>81</v>
      </c>
      <c r="DL290" s="195"/>
      <c r="DM290" s="195"/>
      <c r="DN290" s="195" t="s">
        <v>82</v>
      </c>
      <c r="DO290" s="195" t="s">
        <v>83</v>
      </c>
      <c r="DP290" s="195"/>
      <c r="DQ290" s="195" t="s">
        <v>84</v>
      </c>
    </row>
    <row r="291" spans="115:121" ht="12" customHeight="1">
      <c r="DK291" s="195"/>
      <c r="DL291" s="195"/>
      <c r="DM291" s="195"/>
      <c r="DN291" s="195" t="s">
        <v>85</v>
      </c>
      <c r="DO291" s="195" t="s">
        <v>86</v>
      </c>
      <c r="DP291" s="195"/>
      <c r="DQ291" s="195"/>
    </row>
    <row r="292" spans="115:122" ht="12" customHeight="1">
      <c r="DK292" s="187"/>
      <c r="DL292" s="188"/>
      <c r="DM292" s="188"/>
      <c r="DN292" s="188"/>
      <c r="DO292" s="189">
        <f>AU50</f>
        <v>396</v>
      </c>
      <c r="DP292" s="187"/>
      <c r="DQ292" s="190"/>
      <c r="DR292" s="181"/>
    </row>
    <row r="293" spans="115:122" ht="12" customHeight="1">
      <c r="DK293" s="191" t="s">
        <v>44</v>
      </c>
      <c r="DL293" s="192" t="str">
        <f>SUBSTITUTE(DL295,DP299,DP300,1)</f>
        <v>Триста девяносто шесть </v>
      </c>
      <c r="DM293" s="191"/>
      <c r="DN293" s="191"/>
      <c r="DO293" s="193"/>
      <c r="DP293" s="191"/>
      <c r="DQ293" s="191"/>
      <c r="DR293" s="181"/>
    </row>
    <row r="294" spans="115:122" ht="12" customHeight="1">
      <c r="DK294" s="191" t="s">
        <v>45</v>
      </c>
      <c r="DL294" s="192" t="str">
        <f>SUBSTITUTE(DL296,DP299,DP300,1)</f>
        <v>Триста девяносто шесть </v>
      </c>
      <c r="DM294" s="191"/>
      <c r="DN294" s="191"/>
      <c r="DO294" s="191"/>
      <c r="DP294" s="191"/>
      <c r="DQ294" s="191"/>
      <c r="DR294" s="181"/>
    </row>
    <row r="295" spans="115:122" ht="12" customHeight="1">
      <c r="DK295" s="191" t="s">
        <v>46</v>
      </c>
      <c r="DL295" s="192" t="str">
        <f>CONCATENATE(DK298,DK299,DK300,DK301,DK302)</f>
        <v>триста девяносто шесть </v>
      </c>
      <c r="DM295" s="191"/>
      <c r="DN295" s="191"/>
      <c r="DO295" s="191"/>
      <c r="DP295" s="191"/>
      <c r="DQ295" s="191"/>
      <c r="DR295" s="191"/>
    </row>
    <row r="296" spans="115:122" ht="12" customHeight="1">
      <c r="DK296" s="191" t="s">
        <v>47</v>
      </c>
      <c r="DL296" s="192" t="str">
        <f>CONCATENATE(DK298,DK299,DK300,DK301,DK302,DL298,DL299,DM299)</f>
        <v>триста девяносто шесть </v>
      </c>
      <c r="DM296" s="191"/>
      <c r="DN296" s="191"/>
      <c r="DO296" s="191"/>
      <c r="DP296" s="192"/>
      <c r="DQ296" s="192"/>
      <c r="DR296" s="191"/>
    </row>
    <row r="297" spans="115:122" ht="12" customHeight="1">
      <c r="DK297" s="187"/>
      <c r="DL297" s="187"/>
      <c r="DM297" s="187"/>
      <c r="DN297" s="194"/>
      <c r="DO297" s="187"/>
      <c r="DP297" s="187"/>
      <c r="DQ297" s="187"/>
      <c r="DR297" s="191"/>
    </row>
    <row r="298" spans="115:122" ht="12" customHeight="1">
      <c r="DK298" s="195">
        <f>CONCATENATE(IF(DL305=0,"",DO305),IF(DL306=0,"",IF(DM307&lt;20,IF(DM307&lt;16,IF(DM307&lt;10,DO306,DN307),DP307),DO306)),IF(DL307=0,"",IF(NOT(DL306=1),DO307,"")),DP308)</f>
      </c>
      <c r="DL298" s="187"/>
      <c r="DM298" s="187"/>
      <c r="DN298" s="194"/>
      <c r="DO298" s="187"/>
      <c r="DP298" s="196">
        <f>CODE(DL296)</f>
        <v>242</v>
      </c>
      <c r="DQ298" s="195"/>
      <c r="DR298" s="187"/>
    </row>
    <row r="299" spans="115:121" ht="12" customHeight="1">
      <c r="DK299" s="195">
        <f>CONCATENATE(IF(DL309=0,"",DO309),IF(DL310=0,"",IF(DM311&lt;20,IF(DM311&lt;16,IF(DM311&lt;10,DO310,DN311),DP311),DO310)),IF(DL311=0,"",IF(NOT(DL310=1),DO311,"")),DP312)</f>
      </c>
      <c r="DL299" s="197"/>
      <c r="DM299" s="187"/>
      <c r="DN299" s="198"/>
      <c r="DO299" s="187"/>
      <c r="DP299" s="196" t="str">
        <f>CHAR(DP298)</f>
        <v>т</v>
      </c>
      <c r="DQ299" s="195"/>
    </row>
    <row r="300" spans="115:121" ht="12" customHeight="1">
      <c r="DK300" s="195">
        <f>CONCATENATE(IF(DL313=0,"",DO313),IF(DL314=0,"",IF(DM315&lt;20,IF(DM315&lt;16,IF(DM315&lt;10,DO314,DN315),DP315),DO314)),IF(DL315=0,"",IF(NOT(DL314=1),DO315,"")),DP316)</f>
      </c>
      <c r="DL300" s="195"/>
      <c r="DM300" s="195"/>
      <c r="DN300" s="199"/>
      <c r="DO300" s="200"/>
      <c r="DP300" s="196" t="str">
        <f>PROPER(DP299)</f>
        <v>Т</v>
      </c>
      <c r="DQ300" s="195"/>
    </row>
    <row r="301" spans="115:121" ht="12" customHeight="1">
      <c r="DK301" s="195" t="str">
        <f>CONCATENATE(IF(DL317=0,"",DO317),IF(DL318=0,"",IF(DM319&lt;20,IF(DM319&lt;16,IF(DM319&lt;10,DO318,DN319),DP319),DO318)),IF(DL319=0,"",IF(NOT(DL318=1),DO319,"")),DP320)</f>
        <v>триста девяносто шесть </v>
      </c>
      <c r="DL301" s="195"/>
      <c r="DM301" s="195"/>
      <c r="DN301" s="199"/>
      <c r="DO301" s="200"/>
      <c r="DP301" s="195"/>
      <c r="DQ301" s="195"/>
    </row>
    <row r="302" spans="115:121" ht="12" customHeight="1">
      <c r="DK302" s="201"/>
      <c r="DL302" s="195"/>
      <c r="DM302" s="195"/>
      <c r="DN302" s="199"/>
      <c r="DO302" s="200"/>
      <c r="DP302" s="195"/>
      <c r="DQ302" s="195"/>
    </row>
    <row r="303" spans="115:121" ht="12" customHeight="1">
      <c r="DK303" s="201"/>
      <c r="DL303" s="195"/>
      <c r="DM303" s="195"/>
      <c r="DN303" s="195"/>
      <c r="DO303" s="202">
        <f>TRUNC(DO292)</f>
        <v>396</v>
      </c>
      <c r="DP303" s="195" t="s">
        <v>48</v>
      </c>
      <c r="DQ303" s="195"/>
    </row>
    <row r="304" spans="115:121" ht="12" customHeight="1">
      <c r="DK304" s="203">
        <f>TRUNC(DK305/10)</f>
        <v>0</v>
      </c>
      <c r="DL304" s="199"/>
      <c r="DM304" s="195"/>
      <c r="DN304" s="195"/>
      <c r="DO304" s="195"/>
      <c r="DP304" s="195"/>
      <c r="DQ304" s="195"/>
    </row>
    <row r="305" spans="115:121" ht="12" customHeight="1">
      <c r="DK305" s="203">
        <f>TRUNC(DK306/10)</f>
        <v>0</v>
      </c>
      <c r="DL305" s="199">
        <f>TRUNC(RIGHT(DK305))</f>
        <v>0</v>
      </c>
      <c r="DM305" s="195">
        <f>DL305</f>
        <v>0</v>
      </c>
      <c r="DN305" s="195"/>
      <c r="DO305" s="195" t="str">
        <f>IF(DL305=1,DO333,IF(DL305=2,DQ325,IF(DL305=3,DQ326,IF(DL305=4,DQ327,IF(DL305=5,DQ328,IF(DL305=6,DQ329,IF(DL305=7,DQ330,IF(DL305=8,DQ331,DQ332))))))))</f>
        <v>девятьсот </v>
      </c>
      <c r="DP305" s="195"/>
      <c r="DQ305" s="195"/>
    </row>
    <row r="306" spans="115:121" ht="12" customHeight="1">
      <c r="DK306" s="203">
        <f>TRUNC(DK307/10)</f>
        <v>0</v>
      </c>
      <c r="DL306" s="199">
        <f>TRUNC(RIGHT(DK306))</f>
        <v>0</v>
      </c>
      <c r="DM306" s="195">
        <f>IF(DL306=1,"",DL306)</f>
        <v>0</v>
      </c>
      <c r="DN306" s="195"/>
      <c r="DO306" s="200">
        <f>IF(OR(DM306=0,DL306=1),"",IF(DL306=2,DO325,IF(DL306=3,DO326,IF(DL306=4,DO327,IF(DL306=5,DO328,IF(DL306=6,DO329,IF(DL306=7,DO330,IF(DL306=8,DO331,DO332))))))))</f>
      </c>
      <c r="DP306" s="195"/>
      <c r="DQ306" s="195"/>
    </row>
    <row r="307" spans="115:121" ht="12" customHeight="1">
      <c r="DK307" s="203">
        <f>TRUNC(DK309/10)</f>
        <v>0</v>
      </c>
      <c r="DL307" s="199">
        <f>TRUNC(RIGHT(DK307))</f>
        <v>0</v>
      </c>
      <c r="DM307" s="195">
        <f>IF(DL306=1,DL307+10,IF(DL307=0,0,DL307))</f>
        <v>0</v>
      </c>
      <c r="DN307" s="195">
        <f>IF(AND(DM307&gt;9,DM307&lt;16),IF(DM307=10,DN324,IF(DM307=11,DN325,IF(DM307=12,DN326,IF(DM307=13,DN327,IF(DM307=14,DN328,IF(DM307=15,DN329,)))))),"")</f>
      </c>
      <c r="DO307" s="200" t="str">
        <f>IF(DL307=1,DK324,IF(DL307=2,DK325,IF(DL307=3,DK326,IF(DL307=4,DK327,IF(DL307=5,DK328,IF(DL307=6,DK329,IF(DL307=7,DK330,IF(DL307=8,DK331,DK332))))))))</f>
        <v>девять </v>
      </c>
      <c r="DP307" s="195">
        <f>IF(AND(DM307&gt;15,DM307&lt;20),IF(DM307=16,DN330,IF(DM307=17,DN331,IF(DM307=18,DN332,IF(DM307=19,DN333,)))),"")</f>
      </c>
      <c r="DQ307" s="195"/>
    </row>
    <row r="308" spans="115:121" ht="12" customHeight="1">
      <c r="DK308" s="203"/>
      <c r="DL308" s="199"/>
      <c r="DM308" s="195"/>
      <c r="DN308" s="199"/>
      <c r="DO308" s="195">
        <f>DL307+DL306*10+DL305*100</f>
        <v>0</v>
      </c>
      <c r="DP308" s="195">
        <f>IF(DO308=0,"",IF(DL306=1,"миллиардов ",IF(DL307=1,"миллиард ",IF(OR(DL307=2,DL307=3,DL307=4),"миллиарда ","миллиардов "))))</f>
      </c>
      <c r="DQ308" s="195"/>
    </row>
    <row r="309" spans="115:121" ht="12" customHeight="1">
      <c r="DK309" s="203">
        <f>TRUNC(DK310/10)</f>
        <v>0</v>
      </c>
      <c r="DL309" s="199">
        <f>TRUNC(RIGHT(DK309))</f>
        <v>0</v>
      </c>
      <c r="DM309" s="195">
        <f>DL309</f>
        <v>0</v>
      </c>
      <c r="DN309" s="195"/>
      <c r="DO309" s="195" t="str">
        <f>IF(DL309=1,DO333,IF(DL309=2,DQ325,IF(DL309=3,DQ326,IF(DL309=4,DQ327,IF(DL309=5,DQ328,IF(DL309=6,DQ329,IF(DL309=7,DQ330,IF(DL309=8,DQ331,DQ332))))))))</f>
        <v>девятьсот </v>
      </c>
      <c r="DP309" s="195"/>
      <c r="DQ309" s="195"/>
    </row>
    <row r="310" spans="115:121" ht="12" customHeight="1">
      <c r="DK310" s="203">
        <f>TRUNC(DK311/10)</f>
        <v>0</v>
      </c>
      <c r="DL310" s="199">
        <f>TRUNC(RIGHT(DK310))</f>
        <v>0</v>
      </c>
      <c r="DM310" s="195">
        <f>IF(DL310=1,"",DL310)</f>
        <v>0</v>
      </c>
      <c r="DN310" s="195"/>
      <c r="DO310" s="200">
        <f>IF(OR(DM310=0,DL310=1),"",IF(DL310=2,DO325,IF(DL310=3,DO326,IF(DL310=4,DO327,IF(DL310=5,DO328,IF(DL310=6,DO329,IF(DL310=7,DO330,IF(DL310=8,DO331,DO332))))))))</f>
      </c>
      <c r="DP310" s="195"/>
      <c r="DQ310" s="187"/>
    </row>
    <row r="311" spans="115:121" ht="12" customHeight="1">
      <c r="DK311" s="203">
        <f>TRUNC(DK313/10)</f>
        <v>0</v>
      </c>
      <c r="DL311" s="199">
        <f>TRUNC(RIGHT(DK311))</f>
        <v>0</v>
      </c>
      <c r="DM311" s="195">
        <f>IF(DL310=1,DL311+10,IF(DL311=0,0,DL311))</f>
        <v>0</v>
      </c>
      <c r="DN311" s="195">
        <f>IF(AND(DM311&gt;9,DM311&lt;16),IF(DM311=10,DN324,IF(DM311=11,DN325,IF(DM311=12,DN326,IF(DM311=13,DN327,IF(DM311=14,DN328,IF(DM311=15,DN329,)))))),"")</f>
      </c>
      <c r="DO311" s="200" t="str">
        <f>IF(DL311=1,DK324,IF(DL311=2,DK325,IF(DL311=3,DK326,IF(DL311=4,DK327,IF(DL311=5,DK328,IF(DL311=6,DK329,IF(DL311=7,DK330,IF(DL311=8,DK331,DK332))))))))</f>
        <v>девять </v>
      </c>
      <c r="DP311" s="195">
        <f>IF(AND(DM311&gt;15,DM311&lt;20),IF(DM311=16,DN330,IF(DM311=17,DN331,IF(DM311=18,DN332,IF(DM311=19,DN333,)))),"")</f>
      </c>
      <c r="DQ311" s="195"/>
    </row>
    <row r="312" spans="115:121" ht="12" customHeight="1">
      <c r="DK312" s="203"/>
      <c r="DL312" s="199"/>
      <c r="DM312" s="195"/>
      <c r="DN312" s="195"/>
      <c r="DO312" s="195">
        <f>DL311+DL310*10+DL309*100</f>
        <v>0</v>
      </c>
      <c r="DP312" s="195">
        <f>IF(DO312=0,"",IF(DL310=1,"миллионов ",IF(DL311=1,"миллион ",IF(OR(DL311=2,DL311=3,DL311=4),"миллиона ","миллионов "))))</f>
      </c>
      <c r="DQ312" s="195"/>
    </row>
    <row r="313" spans="115:121" ht="12" customHeight="1">
      <c r="DK313" s="203">
        <f>TRUNC(DK314/10)</f>
        <v>0</v>
      </c>
      <c r="DL313" s="199">
        <f>TRUNC(RIGHT(DK313))</f>
        <v>0</v>
      </c>
      <c r="DM313" s="195">
        <f>DL313</f>
        <v>0</v>
      </c>
      <c r="DN313" s="195"/>
      <c r="DO313" s="195" t="str">
        <f>IF(DL313=1,DO333,IF(DL313=2,DQ325,IF(DL313=3,DQ326,IF(DL313=4,DQ327,IF(DL313=5,DQ328,IF(DL313=6,DQ329,IF(DL313=7,DQ330,IF(DL313=8,DQ331,DQ332))))))))</f>
        <v>девятьсот </v>
      </c>
      <c r="DP313" s="195"/>
      <c r="DQ313" s="195"/>
    </row>
    <row r="314" spans="115:121" ht="12" customHeight="1">
      <c r="DK314" s="203">
        <f>TRUNC(DK315/10)</f>
        <v>0</v>
      </c>
      <c r="DL314" s="199">
        <f>TRUNC(RIGHT(DK314))</f>
        <v>0</v>
      </c>
      <c r="DM314" s="195">
        <f>IF(DL314=1,"",DL314)</f>
        <v>0</v>
      </c>
      <c r="DN314" s="195"/>
      <c r="DO314" s="200">
        <f>IF(OR(DM314=0,DL314=1),"",IF(DL314=2,DO325,IF(DL314=3,DO326,IF(DL314=4,DO327,IF(DL314=5,DO328,IF(DL314=6,DO329,IF(DL314=7,DO330,IF(DL314=8,DO331,DO332))))))))</f>
      </c>
      <c r="DP314" s="195"/>
      <c r="DQ314" s="195"/>
    </row>
    <row r="315" spans="115:121" ht="12" customHeight="1">
      <c r="DK315" s="203">
        <f>TRUNC(DK317/10)</f>
        <v>0</v>
      </c>
      <c r="DL315" s="199">
        <f>TRUNC(RIGHT(DK315))</f>
        <v>0</v>
      </c>
      <c r="DM315" s="195">
        <f>IF(DL314=1,DL315+10,IF(DL315=0,0,DL315))</f>
        <v>0</v>
      </c>
      <c r="DN315" s="195">
        <f>IF(AND(DM315&gt;9,DM315&lt;16),IF(DM315=10,DN324,IF(DM315=11,DN325,IF(DM315=12,DN326,IF(DM315=13,DN327,IF(DM315=14,DN328,IF(DM315=15,DN329,)))))),"")</f>
      </c>
      <c r="DO315" s="200" t="str">
        <f>IF(DL315=1,DL324,IF(DL315=2,DL325,IF(DL315=3,DK326,IF(DL315=4,DK327,IF(DL315=5,DK328,IF(DL315=6,DK329,IF(DL315=7,DK330,IF(DL315=8,DK331,DK332))))))))</f>
        <v>девять </v>
      </c>
      <c r="DP315" s="195">
        <f>IF(AND(DM315&gt;15,DM315&lt;20),IF(DM315=16,DN330,IF(DM315=17,DN331,IF(DM315=18,DN332,IF(DM315=19,DN333,)))),"")</f>
      </c>
      <c r="DQ315" s="195"/>
    </row>
    <row r="316" spans="115:121" ht="12" customHeight="1">
      <c r="DK316" s="203"/>
      <c r="DL316" s="199"/>
      <c r="DM316" s="195"/>
      <c r="DN316" s="195"/>
      <c r="DO316" s="200">
        <f>DL313*100+DL314*10+DL315</f>
        <v>0</v>
      </c>
      <c r="DP316" s="195">
        <f>IF(DO316=0,"",IF(DL314=1,"тысяч ",IF(DL315=1,"тысяча ",IF(OR(DL315=2,DL315=3,DL315=4),"тысячи ","тысяч "))))</f>
      </c>
      <c r="DQ316" s="195"/>
    </row>
    <row r="317" spans="115:121" ht="12" customHeight="1">
      <c r="DK317" s="203">
        <f>TRUNC(DK318/10)</f>
        <v>3</v>
      </c>
      <c r="DL317" s="199">
        <f>TRUNC(RIGHT(DK317))</f>
        <v>3</v>
      </c>
      <c r="DM317" s="195">
        <f>DL317</f>
        <v>3</v>
      </c>
      <c r="DN317" s="195"/>
      <c r="DO317" s="195" t="str">
        <f>IF(DL317=1,DO333,IF(DL317=2,DQ325,IF(DL317=3,DQ326,IF(DL317=4,DQ327,IF(DL317=5,DQ328,IF(DL317=6,DQ329,IF(DL317=7,DQ330,IF(DL317=8,DQ331,DQ332))))))))</f>
        <v>триста </v>
      </c>
      <c r="DP317" s="195"/>
      <c r="DQ317" s="195"/>
    </row>
    <row r="318" spans="115:121" ht="12" customHeight="1">
      <c r="DK318" s="203">
        <f>TRUNC(DK319/10)</f>
        <v>39</v>
      </c>
      <c r="DL318" s="204">
        <f>TRUNC(RIGHT(DK318))</f>
        <v>9</v>
      </c>
      <c r="DM318" s="195">
        <f>IF(DL318=1,"",DL318)</f>
        <v>9</v>
      </c>
      <c r="DN318" s="195"/>
      <c r="DO318" s="200" t="str">
        <f>IF(OR(DM318=0,DL318=1),"",IF(DM318=2,DO325,IF(DM318=3,DO326,IF(DM318=4,DO327,IF(DM318=5,DO328,IF(DM318=6,DO329,IF(DM318=7,DO330,IF(DM318=8,DO331,DO332))))))))</f>
        <v>девяносто </v>
      </c>
      <c r="DP318" s="195"/>
      <c r="DQ318" s="199"/>
    </row>
    <row r="319" spans="115:121" ht="12" customHeight="1">
      <c r="DK319" s="203">
        <f>DO303</f>
        <v>396</v>
      </c>
      <c r="DL319" s="199">
        <f>TRUNC(RIGHT(DK319))</f>
        <v>6</v>
      </c>
      <c r="DM319" s="195">
        <f>IF(DL318=1,DL319+10,IF(DL319=0,0,DL319))</f>
        <v>6</v>
      </c>
      <c r="DN319" s="195">
        <f>IF(AND(DM319&gt;9,DM319&lt;16),IF(DM319=10,DN324,IF(DM319=11,DN325,IF(DM319=12,DN326,IF(DM319=13,DN327,IF(DM319=14,DN328,IF(DM319=15,DN329,)))))),"")</f>
      </c>
      <c r="DO319" s="200" t="str">
        <f>IF(DL319=1,DK324,IF(DL319=2,DK325,IF(DL319=3,DK326,IF(DL319=4,DK327,IF(DL319=5,DK328,IF(DL319=6,DK329,IF(DL319=7,DK330,IF(DL319=8,DK331,DK332))))))))</f>
        <v>шесть </v>
      </c>
      <c r="DP319" s="195">
        <f>IF(AND(DM319&gt;15,DM319&lt;20),IF(DM319=16,DN330,IF(DM319=17,DN331,IF(DM319=18,DN332,IF(DM319=19,DN333,)))),"")</f>
      </c>
      <c r="DQ319" s="199"/>
    </row>
    <row r="320" spans="115:121" ht="12" customHeight="1">
      <c r="DK320" s="201"/>
      <c r="DL320" s="204"/>
      <c r="DM320" s="199"/>
      <c r="DN320" s="195"/>
      <c r="DO320" s="200">
        <f>DL317*100+DL318*10+DL319</f>
        <v>396</v>
      </c>
      <c r="DP320" s="195">
        <f>IF(DO320+DO316+DO312+DO308=0,"ноль ",IF(DM319=1,"",IF(OR(DM319=2,DM319=3,DM319=4),"","")))</f>
      </c>
      <c r="DQ320" s="199"/>
    </row>
    <row r="321" spans="115:121" ht="12" customHeight="1">
      <c r="DK321" s="205">
        <f>ROUND(100*(DO292-DO303),0)</f>
        <v>0</v>
      </c>
      <c r="DL321" s="195"/>
      <c r="DM321" s="199">
        <f>TRUNC(DK321/10)</f>
        <v>0</v>
      </c>
      <c r="DN321" s="195"/>
      <c r="DO321" s="200">
        <f>IF(OR(DM321=1,DM321=0),"",IF(DM321=2,DO325,IF(DM321=3,DO326,IF(DM321=4,DO327,IF(DM321=5,DO328,IF(DM321=6,DO329,IF(DM321=7,DO330,IF(DM321=8,DO331,DO332))))))))</f>
      </c>
      <c r="DP321" s="195"/>
      <c r="DQ321" s="195"/>
    </row>
    <row r="322" spans="115:121" ht="12" customHeight="1">
      <c r="DK322" s="195"/>
      <c r="DL322" s="195"/>
      <c r="DM322" s="199">
        <f>TRUNC(DK321-DM321*10)</f>
        <v>0</v>
      </c>
      <c r="DN322" s="195"/>
      <c r="DO322" s="200" t="str">
        <f>IF(DM322=1,DL324,IF(DM322=2,DL325,IF(DM322=3,DK326,IF(DM322=4,DK327,IF(DM322=5,DK328,IF(DM322=6,DK329,IF(DM322=7,DK330,IF(DM322=8,DK331,DK332))))))))</f>
        <v>девять </v>
      </c>
      <c r="DP322" s="195"/>
      <c r="DQ322" s="195"/>
    </row>
    <row r="323" spans="115:121" ht="12" customHeight="1">
      <c r="DK323" s="195"/>
      <c r="DL323" s="195"/>
      <c r="DM323" s="195"/>
      <c r="DN323" s="195"/>
      <c r="DO323" s="195"/>
      <c r="DP323" s="195" t="s">
        <v>131</v>
      </c>
      <c r="DQ323" s="195"/>
    </row>
    <row r="324" spans="115:121" ht="12" customHeight="1">
      <c r="DK324" s="195" t="s">
        <v>49</v>
      </c>
      <c r="DL324" s="195" t="s">
        <v>50</v>
      </c>
      <c r="DM324" s="195"/>
      <c r="DN324" s="195" t="s">
        <v>51</v>
      </c>
      <c r="DO324" s="195"/>
      <c r="DP324" s="195"/>
      <c r="DQ324" s="195"/>
    </row>
    <row r="325" spans="115:121" ht="12" customHeight="1">
      <c r="DK325" s="195" t="s">
        <v>52</v>
      </c>
      <c r="DL325" s="195" t="s">
        <v>53</v>
      </c>
      <c r="DM325" s="195"/>
      <c r="DN325" s="195" t="s">
        <v>54</v>
      </c>
      <c r="DO325" s="195" t="s">
        <v>55</v>
      </c>
      <c r="DP325" s="195"/>
      <c r="DQ325" s="195" t="s">
        <v>56</v>
      </c>
    </row>
    <row r="326" spans="115:121" ht="12" customHeight="1">
      <c r="DK326" s="195" t="s">
        <v>57</v>
      </c>
      <c r="DL326" s="195"/>
      <c r="DM326" s="195"/>
      <c r="DN326" s="195" t="s">
        <v>58</v>
      </c>
      <c r="DO326" s="195" t="s">
        <v>59</v>
      </c>
      <c r="DP326" s="195"/>
      <c r="DQ326" s="195" t="s">
        <v>60</v>
      </c>
    </row>
    <row r="327" spans="115:121" ht="12" customHeight="1">
      <c r="DK327" s="195" t="s">
        <v>61</v>
      </c>
      <c r="DL327" s="195"/>
      <c r="DM327" s="195"/>
      <c r="DN327" s="195" t="s">
        <v>62</v>
      </c>
      <c r="DO327" s="195" t="s">
        <v>63</v>
      </c>
      <c r="DP327" s="195"/>
      <c r="DQ327" s="195" t="s">
        <v>64</v>
      </c>
    </row>
    <row r="328" spans="115:121" ht="12" customHeight="1">
      <c r="DK328" s="195" t="s">
        <v>65</v>
      </c>
      <c r="DL328" s="195"/>
      <c r="DM328" s="195"/>
      <c r="DN328" s="195" t="s">
        <v>66</v>
      </c>
      <c r="DO328" s="195" t="s">
        <v>67</v>
      </c>
      <c r="DP328" s="195"/>
      <c r="DQ328" s="195" t="s">
        <v>68</v>
      </c>
    </row>
    <row r="329" spans="115:121" ht="12" customHeight="1">
      <c r="DK329" s="195" t="s">
        <v>69</v>
      </c>
      <c r="DL329" s="195"/>
      <c r="DM329" s="195"/>
      <c r="DN329" s="195" t="s">
        <v>70</v>
      </c>
      <c r="DO329" s="195" t="s">
        <v>71</v>
      </c>
      <c r="DP329" s="195"/>
      <c r="DQ329" s="195" t="s">
        <v>72</v>
      </c>
    </row>
    <row r="330" spans="115:121" ht="12" customHeight="1">
      <c r="DK330" s="195" t="s">
        <v>73</v>
      </c>
      <c r="DL330" s="195"/>
      <c r="DM330" s="195"/>
      <c r="DN330" s="195" t="s">
        <v>74</v>
      </c>
      <c r="DO330" s="195" t="s">
        <v>75</v>
      </c>
      <c r="DP330" s="195"/>
      <c r="DQ330" s="195" t="s">
        <v>76</v>
      </c>
    </row>
    <row r="331" spans="115:121" ht="12" customHeight="1">
      <c r="DK331" s="206" t="s">
        <v>77</v>
      </c>
      <c r="DL331" s="195"/>
      <c r="DM331" s="195"/>
      <c r="DN331" s="195" t="s">
        <v>78</v>
      </c>
      <c r="DO331" s="195" t="s">
        <v>79</v>
      </c>
      <c r="DP331" s="195"/>
      <c r="DQ331" s="195" t="s">
        <v>80</v>
      </c>
    </row>
    <row r="332" spans="115:121" ht="12" customHeight="1">
      <c r="DK332" s="195" t="s">
        <v>81</v>
      </c>
      <c r="DL332" s="195"/>
      <c r="DM332" s="195"/>
      <c r="DN332" s="195" t="s">
        <v>82</v>
      </c>
      <c r="DO332" s="195" t="s">
        <v>83</v>
      </c>
      <c r="DP332" s="195"/>
      <c r="DQ332" s="195" t="s">
        <v>84</v>
      </c>
    </row>
    <row r="333" spans="115:121" ht="12" customHeight="1">
      <c r="DK333" s="195"/>
      <c r="DL333" s="195"/>
      <c r="DM333" s="195"/>
      <c r="DN333" s="195" t="s">
        <v>85</v>
      </c>
      <c r="DO333" s="195" t="s">
        <v>86</v>
      </c>
      <c r="DP333" s="195"/>
      <c r="DQ333" s="195"/>
    </row>
    <row r="334" spans="115:122" ht="12" customHeight="1">
      <c r="DK334" s="187"/>
      <c r="DL334" s="188"/>
      <c r="DM334" s="188"/>
      <c r="DN334" s="188"/>
      <c r="DO334" s="189">
        <f>AQ50</f>
        <v>55</v>
      </c>
      <c r="DP334" s="187"/>
      <c r="DQ334" s="190"/>
      <c r="DR334" s="181"/>
    </row>
    <row r="335" spans="115:122" ht="12" customHeight="1">
      <c r="DK335" s="191" t="s">
        <v>44</v>
      </c>
      <c r="DL335" s="192" t="str">
        <f>SUBSTITUTE(DL337,DP341,DP342,1)</f>
        <v>Пятьдесят пять шт.</v>
      </c>
      <c r="DM335" s="191"/>
      <c r="DN335" s="191"/>
      <c r="DO335" s="193"/>
      <c r="DP335" s="191"/>
      <c r="DQ335" s="191"/>
      <c r="DR335" s="181"/>
    </row>
    <row r="336" spans="115:122" ht="12" customHeight="1">
      <c r="DK336" s="191" t="s">
        <v>45</v>
      </c>
      <c r="DL336" s="192" t="str">
        <f>SUBSTITUTE(DL338,DP341,DP342,1)</f>
        <v>Пятьдесят пять шт.</v>
      </c>
      <c r="DM336" s="191"/>
      <c r="DN336" s="191"/>
      <c r="DO336" s="191"/>
      <c r="DP336" s="191"/>
      <c r="DQ336" s="191"/>
      <c r="DR336" s="181"/>
    </row>
    <row r="337" spans="115:122" ht="12" customHeight="1">
      <c r="DK337" s="191" t="s">
        <v>46</v>
      </c>
      <c r="DL337" s="192" t="str">
        <f>CONCATENATE(DK340,DK341,DK342,DK343,DK344)</f>
        <v>пятьдесят пять шт.</v>
      </c>
      <c r="DM337" s="191"/>
      <c r="DN337" s="191"/>
      <c r="DO337" s="191"/>
      <c r="DP337" s="191"/>
      <c r="DQ337" s="191"/>
      <c r="DR337" s="191"/>
    </row>
    <row r="338" spans="115:122" ht="12" customHeight="1">
      <c r="DK338" s="191" t="s">
        <v>47</v>
      </c>
      <c r="DL338" s="192" t="str">
        <f>CONCATENATE(DK340,DK341,DK342,DK343,DK344,DL340,DL341,DM341)</f>
        <v>пятьдесят пять шт.</v>
      </c>
      <c r="DM338" s="191"/>
      <c r="DN338" s="191"/>
      <c r="DO338" s="191"/>
      <c r="DP338" s="192"/>
      <c r="DQ338" s="192"/>
      <c r="DR338" s="191"/>
    </row>
    <row r="339" spans="115:122" ht="12" customHeight="1">
      <c r="DK339" s="187"/>
      <c r="DL339" s="187"/>
      <c r="DM339" s="187"/>
      <c r="DN339" s="194"/>
      <c r="DO339" s="187"/>
      <c r="DP339" s="187"/>
      <c r="DQ339" s="187"/>
      <c r="DR339" s="191"/>
    </row>
    <row r="340" spans="115:122" ht="12" customHeight="1">
      <c r="DK340" s="195">
        <f>CONCATENATE(IF(DL347=0,"",DO347),IF(DL348=0,"",IF(DM349&lt;20,IF(DM349&lt;16,IF(DM349&lt;10,DO348,DN349),DP349),DO348)),IF(DL349=0,"",IF(NOT(DL348=1),DO349,"")),DP350)</f>
      </c>
      <c r="DL340" s="187"/>
      <c r="DM340" s="187"/>
      <c r="DN340" s="194"/>
      <c r="DO340" s="187"/>
      <c r="DP340" s="196">
        <f>CODE(DL338)</f>
        <v>239</v>
      </c>
      <c r="DQ340" s="195"/>
      <c r="DR340" s="187"/>
    </row>
    <row r="341" spans="115:121" ht="12" customHeight="1">
      <c r="DK341" s="195">
        <f>CONCATENATE(IF(DL351=0,"",DO351),IF(DL352=0,"",IF(DM353&lt;20,IF(DM353&lt;16,IF(DM353&lt;10,DO352,DN353),DP353),DO352)),IF(DL353=0,"",IF(NOT(DL352=1),DO353,"")),DP354)</f>
      </c>
      <c r="DL341" s="197"/>
      <c r="DM341" s="187"/>
      <c r="DN341" s="198"/>
      <c r="DO341" s="187"/>
      <c r="DP341" s="196" t="str">
        <f>CHAR(DP340)</f>
        <v>п</v>
      </c>
      <c r="DQ341" s="195"/>
    </row>
    <row r="342" spans="115:121" ht="12" customHeight="1">
      <c r="DK342" s="195">
        <f>CONCATENATE(IF(DL355=0,"",DO355),IF(DL356=0,"",IF(DM357&lt;20,IF(DM357&lt;16,IF(DM357&lt;10,DO356,DN357),DP357),DO356)),IF(DL357=0,"",IF(NOT(DL356=1),DO357,"")),DP358)</f>
      </c>
      <c r="DL342" s="195"/>
      <c r="DM342" s="195"/>
      <c r="DN342" s="199"/>
      <c r="DO342" s="200"/>
      <c r="DP342" s="196" t="str">
        <f>PROPER(DP341)</f>
        <v>П</v>
      </c>
      <c r="DQ342" s="195"/>
    </row>
    <row r="343" spans="115:121" ht="12" customHeight="1">
      <c r="DK343" s="195" t="str">
        <f>CONCATENATE(IF(DL359=0,"",DO359),IF(DL360=0,"",IF(DM361&lt;20,IF(DM361&lt;16,IF(DM361&lt;10,DO360,DN361),DP361),DO360)),IF(DL361=0,"",IF(NOT(DL360=1),DO361,"")),DP362)</f>
        <v>пятьдесят пять шт.</v>
      </c>
      <c r="DL343" s="195"/>
      <c r="DM343" s="195"/>
      <c r="DN343" s="199"/>
      <c r="DO343" s="200"/>
      <c r="DP343" s="195"/>
      <c r="DQ343" s="195"/>
    </row>
    <row r="344" spans="115:121" ht="12" customHeight="1">
      <c r="DK344" s="201"/>
      <c r="DL344" s="195"/>
      <c r="DM344" s="195"/>
      <c r="DN344" s="199"/>
      <c r="DO344" s="200"/>
      <c r="DP344" s="195"/>
      <c r="DQ344" s="195"/>
    </row>
    <row r="345" spans="115:121" ht="12" customHeight="1">
      <c r="DK345" s="201"/>
      <c r="DL345" s="195"/>
      <c r="DM345" s="195"/>
      <c r="DN345" s="195"/>
      <c r="DO345" s="202">
        <f>TRUNC(DO334)</f>
        <v>55</v>
      </c>
      <c r="DP345" s="195" t="s">
        <v>134</v>
      </c>
      <c r="DQ345" s="195"/>
    </row>
    <row r="346" spans="115:121" ht="12" customHeight="1">
      <c r="DK346" s="203">
        <f>TRUNC(DK347/10)</f>
        <v>0</v>
      </c>
      <c r="DL346" s="199"/>
      <c r="DM346" s="195"/>
      <c r="DN346" s="195"/>
      <c r="DO346" s="195"/>
      <c r="DP346" s="195"/>
      <c r="DQ346" s="195"/>
    </row>
    <row r="347" spans="115:121" ht="12" customHeight="1">
      <c r="DK347" s="203">
        <f>TRUNC(DK348/10)</f>
        <v>0</v>
      </c>
      <c r="DL347" s="199">
        <f>TRUNC(RIGHT(DK347))</f>
        <v>0</v>
      </c>
      <c r="DM347" s="195">
        <f>DL347</f>
        <v>0</v>
      </c>
      <c r="DN347" s="195"/>
      <c r="DO347" s="195" t="str">
        <f>IF(DL347=1,DO375,IF(DL347=2,DQ367,IF(DL347=3,DQ368,IF(DL347=4,DQ369,IF(DL347=5,DQ370,IF(DL347=6,DQ371,IF(DL347=7,DQ372,IF(DL347=8,DQ373,DQ374))))))))</f>
        <v>девятьсот </v>
      </c>
      <c r="DP347" s="195"/>
      <c r="DQ347" s="195"/>
    </row>
    <row r="348" spans="115:121" ht="12" customHeight="1">
      <c r="DK348" s="203">
        <f>TRUNC(DK349/10)</f>
        <v>0</v>
      </c>
      <c r="DL348" s="199">
        <f>TRUNC(RIGHT(DK348))</f>
        <v>0</v>
      </c>
      <c r="DM348" s="195">
        <f>IF(DL348=1,"",DL348)</f>
        <v>0</v>
      </c>
      <c r="DN348" s="195"/>
      <c r="DO348" s="200">
        <f>IF(OR(DM348=0,DL348=1),"",IF(DL348=2,DO367,IF(DL348=3,DO368,IF(DL348=4,DO369,IF(DL348=5,DO370,IF(DL348=6,DO371,IF(DL348=7,DO372,IF(DL348=8,DO373,DO374))))))))</f>
      </c>
      <c r="DP348" s="195"/>
      <c r="DQ348" s="195"/>
    </row>
    <row r="349" spans="115:121" ht="12" customHeight="1">
      <c r="DK349" s="203">
        <f>TRUNC(DK351/10)</f>
        <v>0</v>
      </c>
      <c r="DL349" s="199">
        <f>TRUNC(RIGHT(DK349))</f>
        <v>0</v>
      </c>
      <c r="DM349" s="195">
        <f>IF(DL348=1,DL349+10,IF(DL349=0,0,DL349))</f>
        <v>0</v>
      </c>
      <c r="DN349" s="195">
        <f>IF(AND(DM349&gt;9,DM349&lt;16),IF(DM349=10,DN366,IF(DM349=11,DN367,IF(DM349=12,DN368,IF(DM349=13,DN369,IF(DM349=14,DN370,IF(DM349=15,DN371,)))))),"")</f>
      </c>
      <c r="DO349" s="200" t="str">
        <f>IF(DL349=1,DK366,IF(DL349=2,DK367,IF(DL349=3,DK368,IF(DL349=4,DK369,IF(DL349=5,DK370,IF(DL349=6,DK371,IF(DL349=7,DK372,IF(DL349=8,DK373,DK374))))))))</f>
        <v>девять </v>
      </c>
      <c r="DP349" s="195">
        <f>IF(AND(DM349&gt;15,DM349&lt;20),IF(DM349=16,DN372,IF(DM349=17,DN373,IF(DM349=18,DN374,IF(DM349=19,DN375,)))),"")</f>
      </c>
      <c r="DQ349" s="195"/>
    </row>
    <row r="350" spans="115:121" ht="12" customHeight="1">
      <c r="DK350" s="203"/>
      <c r="DL350" s="199"/>
      <c r="DM350" s="195"/>
      <c r="DN350" s="199"/>
      <c r="DO350" s="195">
        <f>DL349+DL348*10+DL347*100</f>
        <v>0</v>
      </c>
      <c r="DP350" s="195">
        <f>IF(DO350=0,"",IF(DL348=1,"миллиардов ",IF(DL349=1,"миллиард ",IF(OR(DL349=2,DL349=3,DL349=4),"миллиарда ","миллиардов "))))</f>
      </c>
      <c r="DQ350" s="195"/>
    </row>
    <row r="351" spans="115:121" ht="12" customHeight="1">
      <c r="DK351" s="203">
        <f>TRUNC(DK352/10)</f>
        <v>0</v>
      </c>
      <c r="DL351" s="199">
        <f>TRUNC(RIGHT(DK351))</f>
        <v>0</v>
      </c>
      <c r="DM351" s="195">
        <f>DL351</f>
        <v>0</v>
      </c>
      <c r="DN351" s="195"/>
      <c r="DO351" s="195" t="str">
        <f>IF(DL351=1,DO375,IF(DL351=2,DQ367,IF(DL351=3,DQ368,IF(DL351=4,DQ369,IF(DL351=5,DQ370,IF(DL351=6,DQ371,IF(DL351=7,DQ372,IF(DL351=8,DQ373,DQ374))))))))</f>
        <v>девятьсот </v>
      </c>
      <c r="DP351" s="195"/>
      <c r="DQ351" s="195"/>
    </row>
    <row r="352" spans="115:121" ht="12" customHeight="1">
      <c r="DK352" s="203">
        <f>TRUNC(DK353/10)</f>
        <v>0</v>
      </c>
      <c r="DL352" s="199">
        <f>TRUNC(RIGHT(DK352))</f>
        <v>0</v>
      </c>
      <c r="DM352" s="195">
        <f>IF(DL352=1,"",DL352)</f>
        <v>0</v>
      </c>
      <c r="DN352" s="195"/>
      <c r="DO352" s="200">
        <f>IF(OR(DM352=0,DL352=1),"",IF(DL352=2,DO367,IF(DL352=3,DO368,IF(DL352=4,DO369,IF(DL352=5,DO370,IF(DL352=6,DO371,IF(DL352=7,DO372,IF(DL352=8,DO373,DO374))))))))</f>
      </c>
      <c r="DP352" s="195"/>
      <c r="DQ352" s="187"/>
    </row>
    <row r="353" spans="115:121" ht="12" customHeight="1">
      <c r="DK353" s="203">
        <f>TRUNC(DK355/10)</f>
        <v>0</v>
      </c>
      <c r="DL353" s="199">
        <f>TRUNC(RIGHT(DK353))</f>
        <v>0</v>
      </c>
      <c r="DM353" s="195">
        <f>IF(DL352=1,DL353+10,IF(DL353=0,0,DL353))</f>
        <v>0</v>
      </c>
      <c r="DN353" s="195">
        <f>IF(AND(DM353&gt;9,DM353&lt;16),IF(DM353=10,DN366,IF(DM353=11,DN367,IF(DM353=12,DN368,IF(DM353=13,DN369,IF(DM353=14,DN370,IF(DM353=15,DN371,)))))),"")</f>
      </c>
      <c r="DO353" s="200" t="str">
        <f>IF(DL353=1,DK366,IF(DL353=2,DK367,IF(DL353=3,DK368,IF(DL353=4,DK369,IF(DL353=5,DK370,IF(DL353=6,DK371,IF(DL353=7,DK372,IF(DL353=8,DK373,DK374))))))))</f>
        <v>девять </v>
      </c>
      <c r="DP353" s="195">
        <f>IF(AND(DM353&gt;15,DM353&lt;20),IF(DM353=16,DN372,IF(DM353=17,DN373,IF(DM353=18,DN374,IF(DM353=19,DN375,)))),"")</f>
      </c>
      <c r="DQ353" s="195"/>
    </row>
    <row r="354" spans="115:121" ht="12" customHeight="1">
      <c r="DK354" s="203"/>
      <c r="DL354" s="199"/>
      <c r="DM354" s="195"/>
      <c r="DN354" s="195"/>
      <c r="DO354" s="195">
        <f>DL353+DL352*10+DL351*100</f>
        <v>0</v>
      </c>
      <c r="DP354" s="195">
        <f>IF(DO354=0,"",IF(DL352=1,"миллионов ",IF(DL353=1,"миллион ",IF(OR(DL353=2,DL353=3,DL353=4),"миллиона ","миллионов "))))</f>
      </c>
      <c r="DQ354" s="195"/>
    </row>
    <row r="355" spans="115:121" ht="12" customHeight="1">
      <c r="DK355" s="203">
        <f>TRUNC(DK356/10)</f>
        <v>0</v>
      </c>
      <c r="DL355" s="199">
        <f>TRUNC(RIGHT(DK355))</f>
        <v>0</v>
      </c>
      <c r="DM355" s="195">
        <f>DL355</f>
        <v>0</v>
      </c>
      <c r="DN355" s="195"/>
      <c r="DO355" s="195" t="str">
        <f>IF(DL355=1,DO375,IF(DL355=2,DQ367,IF(DL355=3,DQ368,IF(DL355=4,DQ369,IF(DL355=5,DQ370,IF(DL355=6,DQ371,IF(DL355=7,DQ372,IF(DL355=8,DQ373,DQ374))))))))</f>
        <v>девятьсот </v>
      </c>
      <c r="DP355" s="195"/>
      <c r="DQ355" s="195"/>
    </row>
    <row r="356" spans="115:121" ht="12" customHeight="1">
      <c r="DK356" s="203">
        <f>TRUNC(DK357/10)</f>
        <v>0</v>
      </c>
      <c r="DL356" s="199">
        <f>TRUNC(RIGHT(DK356))</f>
        <v>0</v>
      </c>
      <c r="DM356" s="195">
        <f>IF(DL356=1,"",DL356)</f>
        <v>0</v>
      </c>
      <c r="DN356" s="195"/>
      <c r="DO356" s="200">
        <f>IF(OR(DM356=0,DL356=1),"",IF(DL356=2,DO367,IF(DL356=3,DO368,IF(DL356=4,DO369,IF(DL356=5,DO370,IF(DL356=6,DO371,IF(DL356=7,DO372,IF(DL356=8,DO373,DO374))))))))</f>
      </c>
      <c r="DP356" s="195"/>
      <c r="DQ356" s="195"/>
    </row>
    <row r="357" spans="115:121" ht="12" customHeight="1">
      <c r="DK357" s="203">
        <f>TRUNC(DK359/10)</f>
        <v>0</v>
      </c>
      <c r="DL357" s="199">
        <f>TRUNC(RIGHT(DK357))</f>
        <v>0</v>
      </c>
      <c r="DM357" s="195">
        <f>IF(DL356=1,DL357+10,IF(DL357=0,0,DL357))</f>
        <v>0</v>
      </c>
      <c r="DN357" s="195">
        <f>IF(AND(DM357&gt;9,DM357&lt;16),IF(DM357=10,DN366,IF(DM357=11,DN367,IF(DM357=12,DN368,IF(DM357=13,DN369,IF(DM357=14,DN370,IF(DM357=15,DN371,)))))),"")</f>
      </c>
      <c r="DO357" s="200" t="str">
        <f>IF(DL357=1,DL366,IF(DL357=2,DL367,IF(DL357=3,DK368,IF(DL357=4,DK369,IF(DL357=5,DK370,IF(DL357=6,DK371,IF(DL357=7,DK372,IF(DL357=8,DK373,DK374))))))))</f>
        <v>девять </v>
      </c>
      <c r="DP357" s="195">
        <f>IF(AND(DM357&gt;15,DM357&lt;20),IF(DM357=16,DN372,IF(DM357=17,DN373,IF(DM357=18,DN374,IF(DM357=19,DN375,)))),"")</f>
      </c>
      <c r="DQ357" s="195"/>
    </row>
    <row r="358" spans="115:121" ht="12" customHeight="1">
      <c r="DK358" s="203"/>
      <c r="DL358" s="199"/>
      <c r="DM358" s="195"/>
      <c r="DN358" s="195"/>
      <c r="DO358" s="200">
        <f>DL355*100+DL356*10+DL357</f>
        <v>0</v>
      </c>
      <c r="DP358" s="195">
        <f>IF(DO358=0,"",IF(DL356=1,"тысяч ",IF(DL357=1,"тысяча ",IF(OR(DL357=2,DL357=3,DL357=4),"тысячи ","тысяч "))))</f>
      </c>
      <c r="DQ358" s="195"/>
    </row>
    <row r="359" spans="115:121" ht="12" customHeight="1">
      <c r="DK359" s="203">
        <f>TRUNC(DK360/10)</f>
        <v>0</v>
      </c>
      <c r="DL359" s="199">
        <f>TRUNC(RIGHT(DK359))</f>
        <v>0</v>
      </c>
      <c r="DM359" s="195">
        <f>DL359</f>
        <v>0</v>
      </c>
      <c r="DN359" s="195"/>
      <c r="DO359" s="195" t="str">
        <f>IF(DL359=1,DO375,IF(DL359=2,DQ367,IF(DL359=3,DQ368,IF(DL359=4,DQ369,IF(DL359=5,DQ370,IF(DL359=6,DQ371,IF(DL359=7,DQ372,IF(DL359=8,DQ373,DQ374))))))))</f>
        <v>девятьсот </v>
      </c>
      <c r="DP359" s="195"/>
      <c r="DQ359" s="195"/>
    </row>
    <row r="360" spans="115:121" ht="12" customHeight="1">
      <c r="DK360" s="203">
        <f>TRUNC(DK361/10)</f>
        <v>5</v>
      </c>
      <c r="DL360" s="204">
        <f>TRUNC(RIGHT(DK360))</f>
        <v>5</v>
      </c>
      <c r="DM360" s="195">
        <f>IF(DL360=1,"",DL360)</f>
        <v>5</v>
      </c>
      <c r="DN360" s="195"/>
      <c r="DO360" s="200" t="str">
        <f>IF(OR(DM360=0,DL360=1),"",IF(DM360=2,DO367,IF(DM360=3,DO368,IF(DM360=4,DO369,IF(DM360=5,DO370,IF(DM360=6,DO371,IF(DM360=7,DO372,IF(DM360=8,DO373,DO374))))))))</f>
        <v>пятьдесят </v>
      </c>
      <c r="DP360" s="195"/>
      <c r="DQ360" s="199"/>
    </row>
    <row r="361" spans="115:121" ht="12" customHeight="1">
      <c r="DK361" s="203">
        <f>DO345</f>
        <v>55</v>
      </c>
      <c r="DL361" s="199">
        <f>TRUNC(RIGHT(DK361))</f>
        <v>5</v>
      </c>
      <c r="DM361" s="195">
        <f>IF(DL360=1,DL361+10,IF(DL361=0,0,DL361))</f>
        <v>5</v>
      </c>
      <c r="DN361" s="195">
        <f>IF(AND(DM361&gt;9,DM361&lt;16),IF(DM361=10,DN366,IF(DM361=11,DN367,IF(DM361=12,DN368,IF(DM361=13,DN369,IF(DM361=14,DN370,IF(DM361=15,DN371,)))))),"")</f>
      </c>
      <c r="DO361" s="200" t="str">
        <f>IF(DL361=1,DL366,IF(DL361=2,DL367,IF(DL361=3,DK368,IF(DL361=4,DK369,IF(DL361=5,DK370,IF(DL361=6,DK371,IF(DL361=7,DK372,IF(DL361=8,DK373,DK374))))))))</f>
        <v>пять </v>
      </c>
      <c r="DP361" s="195">
        <f>IF(AND(DM361&gt;15,DM361&lt;20),IF(DM361=16,DN372,IF(DM361=17,DN373,IF(DM361=18,DN374,IF(DM361=19,DN375,)))),"")</f>
      </c>
      <c r="DQ361" s="199"/>
    </row>
    <row r="362" spans="115:121" ht="12" customHeight="1">
      <c r="DK362" s="201"/>
      <c r="DL362" s="204"/>
      <c r="DM362" s="199"/>
      <c r="DN362" s="195"/>
      <c r="DO362" s="200">
        <f>DL359*100+DL360*10+DL361</f>
        <v>55</v>
      </c>
      <c r="DP362" s="195" t="str">
        <f>IF(DO362+DO358+DO354+DO350=0,"ноль шт. ",IF(DM361=1,"шт.",IF(OR(DM361=2,DM361=3,DM361=4),"шт.","шт.")))</f>
        <v>шт.</v>
      </c>
      <c r="DQ362" s="199"/>
    </row>
    <row r="363" spans="115:121" ht="12" customHeight="1">
      <c r="DK363" s="205">
        <f>ROUND(100*(DO334-DO345),0)</f>
        <v>0</v>
      </c>
      <c r="DL363" s="195"/>
      <c r="DM363" s="199">
        <f>TRUNC(DK363/10)</f>
        <v>0</v>
      </c>
      <c r="DN363" s="195"/>
      <c r="DO363" s="200">
        <f>IF(OR(DM363=1,DM363=0),"",IF(DM363=2,DO367,IF(DM363=3,DO368,IF(DM363=4,DO369,IF(DM363=5,DO370,IF(DM363=6,DO371,IF(DM363=7,DO372,IF(DM363=8,DO373,DO374))))))))</f>
      </c>
      <c r="DP363" s="195"/>
      <c r="DQ363" s="195"/>
    </row>
    <row r="364" spans="115:121" ht="12" customHeight="1">
      <c r="DK364" s="195"/>
      <c r="DL364" s="195"/>
      <c r="DM364" s="199">
        <f>TRUNC(DK363-DM363*10)</f>
        <v>0</v>
      </c>
      <c r="DN364" s="195"/>
      <c r="DO364" s="200" t="str">
        <f>IF(DM364=1,DL366,IF(DM364=2,DL367,IF(DM364=3,DK368,IF(DM364=4,DK369,IF(DM364=5,DK370,IF(DM364=6,DK371,IF(DM364=7,DK372,IF(DM364=8,DK373,DK374))))))))</f>
        <v>девять </v>
      </c>
      <c r="DP364" s="195"/>
      <c r="DQ364" s="195"/>
    </row>
    <row r="365" spans="115:121" ht="12" customHeight="1">
      <c r="DK365" s="195"/>
      <c r="DL365" s="195"/>
      <c r="DM365" s="195"/>
      <c r="DN365" s="195"/>
      <c r="DO365" s="195"/>
      <c r="DP365" s="195" t="s">
        <v>131</v>
      </c>
      <c r="DQ365" s="195"/>
    </row>
    <row r="366" spans="115:121" ht="12" customHeight="1">
      <c r="DK366" s="195" t="s">
        <v>49</v>
      </c>
      <c r="DL366" s="195" t="s">
        <v>50</v>
      </c>
      <c r="DM366" s="195"/>
      <c r="DN366" s="195" t="s">
        <v>51</v>
      </c>
      <c r="DO366" s="195"/>
      <c r="DP366" s="195"/>
      <c r="DQ366" s="195"/>
    </row>
    <row r="367" spans="115:121" ht="12" customHeight="1">
      <c r="DK367" s="195" t="s">
        <v>52</v>
      </c>
      <c r="DL367" s="195" t="s">
        <v>53</v>
      </c>
      <c r="DM367" s="195"/>
      <c r="DN367" s="195" t="s">
        <v>54</v>
      </c>
      <c r="DO367" s="195" t="s">
        <v>55</v>
      </c>
      <c r="DP367" s="195"/>
      <c r="DQ367" s="195" t="s">
        <v>56</v>
      </c>
    </row>
    <row r="368" spans="115:121" ht="12" customHeight="1">
      <c r="DK368" s="195" t="s">
        <v>57</v>
      </c>
      <c r="DL368" s="195"/>
      <c r="DM368" s="195"/>
      <c r="DN368" s="195" t="s">
        <v>58</v>
      </c>
      <c r="DO368" s="195" t="s">
        <v>59</v>
      </c>
      <c r="DP368" s="195"/>
      <c r="DQ368" s="195" t="s">
        <v>60</v>
      </c>
    </row>
    <row r="369" spans="115:121" ht="12" customHeight="1">
      <c r="DK369" s="195" t="s">
        <v>61</v>
      </c>
      <c r="DL369" s="195"/>
      <c r="DM369" s="195"/>
      <c r="DN369" s="195" t="s">
        <v>62</v>
      </c>
      <c r="DO369" s="195" t="s">
        <v>63</v>
      </c>
      <c r="DP369" s="195"/>
      <c r="DQ369" s="195" t="s">
        <v>64</v>
      </c>
    </row>
    <row r="370" spans="115:121" ht="12" customHeight="1">
      <c r="DK370" s="195" t="s">
        <v>65</v>
      </c>
      <c r="DL370" s="195"/>
      <c r="DM370" s="195"/>
      <c r="DN370" s="195" t="s">
        <v>66</v>
      </c>
      <c r="DO370" s="195" t="s">
        <v>67</v>
      </c>
      <c r="DP370" s="195"/>
      <c r="DQ370" s="195" t="s">
        <v>68</v>
      </c>
    </row>
    <row r="371" spans="115:121" ht="12" customHeight="1">
      <c r="DK371" s="195" t="s">
        <v>69</v>
      </c>
      <c r="DL371" s="195"/>
      <c r="DM371" s="195"/>
      <c r="DN371" s="195" t="s">
        <v>70</v>
      </c>
      <c r="DO371" s="195" t="s">
        <v>71</v>
      </c>
      <c r="DP371" s="195"/>
      <c r="DQ371" s="195" t="s">
        <v>72</v>
      </c>
    </row>
    <row r="372" spans="115:121" ht="12" customHeight="1">
      <c r="DK372" s="195" t="s">
        <v>73</v>
      </c>
      <c r="DL372" s="195"/>
      <c r="DM372" s="195"/>
      <c r="DN372" s="195" t="s">
        <v>74</v>
      </c>
      <c r="DO372" s="195" t="s">
        <v>75</v>
      </c>
      <c r="DP372" s="195"/>
      <c r="DQ372" s="195" t="s">
        <v>76</v>
      </c>
    </row>
    <row r="373" spans="115:121" ht="12" customHeight="1">
      <c r="DK373" s="206" t="s">
        <v>77</v>
      </c>
      <c r="DL373" s="195"/>
      <c r="DM373" s="195"/>
      <c r="DN373" s="195" t="s">
        <v>78</v>
      </c>
      <c r="DO373" s="195" t="s">
        <v>79</v>
      </c>
      <c r="DP373" s="195"/>
      <c r="DQ373" s="195" t="s">
        <v>80</v>
      </c>
    </row>
    <row r="374" spans="115:121" ht="12" customHeight="1">
      <c r="DK374" s="195" t="s">
        <v>81</v>
      </c>
      <c r="DL374" s="195"/>
      <c r="DM374" s="195"/>
      <c r="DN374" s="195" t="s">
        <v>82</v>
      </c>
      <c r="DO374" s="195" t="s">
        <v>83</v>
      </c>
      <c r="DP374" s="195"/>
      <c r="DQ374" s="195" t="s">
        <v>84</v>
      </c>
    </row>
    <row r="375" spans="115:121" ht="12" customHeight="1">
      <c r="DK375" s="195"/>
      <c r="DL375" s="195"/>
      <c r="DM375" s="195"/>
      <c r="DN375" s="195" t="s">
        <v>85</v>
      </c>
      <c r="DO375" s="195" t="s">
        <v>86</v>
      </c>
      <c r="DP375" s="195"/>
      <c r="DQ375" s="195"/>
    </row>
  </sheetData>
  <sheetProtection formatCells="0" insertColumns="0" deleteRows="0"/>
  <mergeCells count="351">
    <mergeCell ref="N94:AT94"/>
    <mergeCell ref="AP61:AS61"/>
    <mergeCell ref="AT61:BB61"/>
    <mergeCell ref="AT62:BB62"/>
    <mergeCell ref="AI64:AU64"/>
    <mergeCell ref="AB63:AI63"/>
    <mergeCell ref="AB61:AG61"/>
    <mergeCell ref="AH61:AO61"/>
    <mergeCell ref="AH62:AO62"/>
    <mergeCell ref="AU63:AX63"/>
    <mergeCell ref="C53:H53"/>
    <mergeCell ref="C55:J55"/>
    <mergeCell ref="AB50:AF50"/>
    <mergeCell ref="AG50:AK50"/>
    <mergeCell ref="C50:L50"/>
    <mergeCell ref="M50:O50"/>
    <mergeCell ref="P50:R50"/>
    <mergeCell ref="S50:V50"/>
    <mergeCell ref="W50:AA50"/>
    <mergeCell ref="I53:AQ53"/>
    <mergeCell ref="H90:K90"/>
    <mergeCell ref="L90:N90"/>
    <mergeCell ref="S90:V90"/>
    <mergeCell ref="C89:G89"/>
    <mergeCell ref="S92:V92"/>
    <mergeCell ref="C92:G92"/>
    <mergeCell ref="H92:K92"/>
    <mergeCell ref="L92:N92"/>
    <mergeCell ref="H89:K89"/>
    <mergeCell ref="L89:N89"/>
    <mergeCell ref="AA89:AD89"/>
    <mergeCell ref="AS88:AW88"/>
    <mergeCell ref="S89:V89"/>
    <mergeCell ref="C91:G91"/>
    <mergeCell ref="H91:K91"/>
    <mergeCell ref="L91:N91"/>
    <mergeCell ref="S91:V91"/>
    <mergeCell ref="C90:G90"/>
    <mergeCell ref="AX88:BB88"/>
    <mergeCell ref="AS89:AW89"/>
    <mergeCell ref="AS90:AW90"/>
    <mergeCell ref="S88:V88"/>
    <mergeCell ref="AA88:AD88"/>
    <mergeCell ref="AE88:AH88"/>
    <mergeCell ref="AI89:AM89"/>
    <mergeCell ref="AI90:AM90"/>
    <mergeCell ref="C88:G88"/>
    <mergeCell ref="H88:K88"/>
    <mergeCell ref="L88:N88"/>
    <mergeCell ref="C84:G87"/>
    <mergeCell ref="H84:K87"/>
    <mergeCell ref="L84:N87"/>
    <mergeCell ref="AN81:AP81"/>
    <mergeCell ref="AQ81:AS81"/>
    <mergeCell ref="S84:V87"/>
    <mergeCell ref="T81:W81"/>
    <mergeCell ref="X81:AA81"/>
    <mergeCell ref="AB81:AG81"/>
    <mergeCell ref="AA84:AH85"/>
    <mergeCell ref="AA86:AD87"/>
    <mergeCell ref="AE86:AH87"/>
    <mergeCell ref="X80:AA80"/>
    <mergeCell ref="AB80:AG80"/>
    <mergeCell ref="AH80:AJ80"/>
    <mergeCell ref="C81:G81"/>
    <mergeCell ref="H81:K81"/>
    <mergeCell ref="L81:O81"/>
    <mergeCell ref="P81:S81"/>
    <mergeCell ref="AH81:AJ81"/>
    <mergeCell ref="L78:O79"/>
    <mergeCell ref="P78:S79"/>
    <mergeCell ref="T78:W79"/>
    <mergeCell ref="C80:G80"/>
    <mergeCell ref="H80:K80"/>
    <mergeCell ref="L80:O80"/>
    <mergeCell ref="P80:S80"/>
    <mergeCell ref="T80:W80"/>
    <mergeCell ref="AK73:AP73"/>
    <mergeCell ref="AQ73:AT73"/>
    <mergeCell ref="AT76:BB76"/>
    <mergeCell ref="C75:AS75"/>
    <mergeCell ref="C76:W77"/>
    <mergeCell ref="X76:AA79"/>
    <mergeCell ref="AB76:AG79"/>
    <mergeCell ref="AH76:AM77"/>
    <mergeCell ref="C78:G79"/>
    <mergeCell ref="H78:K79"/>
    <mergeCell ref="AU73:BB73"/>
    <mergeCell ref="AU75:BB75"/>
    <mergeCell ref="C73:F73"/>
    <mergeCell ref="G73:K73"/>
    <mergeCell ref="L73:Q73"/>
    <mergeCell ref="R73:T73"/>
    <mergeCell ref="U73:X73"/>
    <mergeCell ref="Y73:AB73"/>
    <mergeCell ref="AC73:AF73"/>
    <mergeCell ref="AG73:AJ73"/>
    <mergeCell ref="AQ72:AT72"/>
    <mergeCell ref="AU72:BB72"/>
    <mergeCell ref="AU71:BB71"/>
    <mergeCell ref="Y72:AB72"/>
    <mergeCell ref="AC72:AF72"/>
    <mergeCell ref="AG72:AJ72"/>
    <mergeCell ref="AK72:AP72"/>
    <mergeCell ref="AC71:AF71"/>
    <mergeCell ref="AG71:AJ71"/>
    <mergeCell ref="AK71:AP71"/>
    <mergeCell ref="U72:X72"/>
    <mergeCell ref="C71:F71"/>
    <mergeCell ref="G71:K71"/>
    <mergeCell ref="L71:Q71"/>
    <mergeCell ref="R71:T71"/>
    <mergeCell ref="U71:X71"/>
    <mergeCell ref="C72:F72"/>
    <mergeCell ref="G72:K72"/>
    <mergeCell ref="L72:Q72"/>
    <mergeCell ref="R72:T72"/>
    <mergeCell ref="AU70:BB70"/>
    <mergeCell ref="U68:AF68"/>
    <mergeCell ref="Y71:AB71"/>
    <mergeCell ref="AQ68:AT70"/>
    <mergeCell ref="U69:X70"/>
    <mergeCell ref="Y69:AB70"/>
    <mergeCell ref="AC69:AF70"/>
    <mergeCell ref="AG69:AJ70"/>
    <mergeCell ref="AK69:AP70"/>
    <mergeCell ref="AQ71:AT71"/>
    <mergeCell ref="AJ63:AT63"/>
    <mergeCell ref="K61:T61"/>
    <mergeCell ref="AU68:BB68"/>
    <mergeCell ref="L68:Q70"/>
    <mergeCell ref="R68:T70"/>
    <mergeCell ref="AG68:AP68"/>
    <mergeCell ref="C67:AT67"/>
    <mergeCell ref="C68:F70"/>
    <mergeCell ref="G68:K70"/>
    <mergeCell ref="AU69:BB69"/>
    <mergeCell ref="AL57:BB57"/>
    <mergeCell ref="AY63:BB63"/>
    <mergeCell ref="U61:X61"/>
    <mergeCell ref="Y61:AA61"/>
    <mergeCell ref="AK60:BB60"/>
    <mergeCell ref="I60:AA60"/>
    <mergeCell ref="I62:U62"/>
    <mergeCell ref="C61:J61"/>
    <mergeCell ref="I58:Z58"/>
    <mergeCell ref="I57:X57"/>
    <mergeCell ref="Y57:Z57"/>
    <mergeCell ref="AA57:AK57"/>
    <mergeCell ref="AY50:BB50"/>
    <mergeCell ref="AL49:AP49"/>
    <mergeCell ref="AQ49:AT49"/>
    <mergeCell ref="AU49:AX49"/>
    <mergeCell ref="AL50:AP50"/>
    <mergeCell ref="AQ50:AT50"/>
    <mergeCell ref="AY49:BB49"/>
    <mergeCell ref="I54:AQ54"/>
    <mergeCell ref="C49:L49"/>
    <mergeCell ref="M49:O49"/>
    <mergeCell ref="P49:R49"/>
    <mergeCell ref="AU50:AX50"/>
    <mergeCell ref="S49:V49"/>
    <mergeCell ref="W49:AA49"/>
    <mergeCell ref="AB49:AF49"/>
    <mergeCell ref="AU48:AX48"/>
    <mergeCell ref="AY48:BB48"/>
    <mergeCell ref="AB48:AF48"/>
    <mergeCell ref="S48:V48"/>
    <mergeCell ref="AG48:AK48"/>
    <mergeCell ref="AG49:AK49"/>
    <mergeCell ref="W48:AA48"/>
    <mergeCell ref="C47:L47"/>
    <mergeCell ref="M47:O47"/>
    <mergeCell ref="P47:R47"/>
    <mergeCell ref="S47:V47"/>
    <mergeCell ref="AL48:AP48"/>
    <mergeCell ref="AQ48:AT48"/>
    <mergeCell ref="C48:L48"/>
    <mergeCell ref="M48:O48"/>
    <mergeCell ref="P48:R48"/>
    <mergeCell ref="AY46:BB46"/>
    <mergeCell ref="W47:AA47"/>
    <mergeCell ref="AB47:AF47"/>
    <mergeCell ref="AB46:AF46"/>
    <mergeCell ref="AG46:AK46"/>
    <mergeCell ref="AY47:BB47"/>
    <mergeCell ref="AG47:AK47"/>
    <mergeCell ref="P45:R45"/>
    <mergeCell ref="S45:V45"/>
    <mergeCell ref="AL47:AP47"/>
    <mergeCell ref="AQ47:AT47"/>
    <mergeCell ref="AU47:AX47"/>
    <mergeCell ref="AU45:AX45"/>
    <mergeCell ref="AL46:AP46"/>
    <mergeCell ref="AQ46:AT46"/>
    <mergeCell ref="AU46:AX46"/>
    <mergeCell ref="AL45:AP45"/>
    <mergeCell ref="AQ45:AT45"/>
    <mergeCell ref="AY45:BB45"/>
    <mergeCell ref="C46:L46"/>
    <mergeCell ref="M46:O46"/>
    <mergeCell ref="P46:R46"/>
    <mergeCell ref="S46:V46"/>
    <mergeCell ref="W46:AA46"/>
    <mergeCell ref="C45:L45"/>
    <mergeCell ref="M45:O45"/>
    <mergeCell ref="AG44:AK44"/>
    <mergeCell ref="AY44:BB44"/>
    <mergeCell ref="W45:AA45"/>
    <mergeCell ref="AB45:AF45"/>
    <mergeCell ref="AQ43:AT43"/>
    <mergeCell ref="AU43:AX43"/>
    <mergeCell ref="AL44:AP44"/>
    <mergeCell ref="AQ44:AT44"/>
    <mergeCell ref="AU44:AX44"/>
    <mergeCell ref="AG45:AK45"/>
    <mergeCell ref="AB43:AF43"/>
    <mergeCell ref="AG43:AK43"/>
    <mergeCell ref="AL43:AP43"/>
    <mergeCell ref="AY43:BB43"/>
    <mergeCell ref="C44:L44"/>
    <mergeCell ref="M44:O44"/>
    <mergeCell ref="P44:R44"/>
    <mergeCell ref="S44:V44"/>
    <mergeCell ref="W44:AA44"/>
    <mergeCell ref="AB44:AF44"/>
    <mergeCell ref="AG40:AK42"/>
    <mergeCell ref="AL40:AP42"/>
    <mergeCell ref="AQ40:AT42"/>
    <mergeCell ref="AU40:AX42"/>
    <mergeCell ref="AY40:BB42"/>
    <mergeCell ref="C43:L43"/>
    <mergeCell ref="M43:O43"/>
    <mergeCell ref="P43:R43"/>
    <mergeCell ref="S43:V43"/>
    <mergeCell ref="W43:AA43"/>
    <mergeCell ref="C40:L42"/>
    <mergeCell ref="M40:O42"/>
    <mergeCell ref="P40:R42"/>
    <mergeCell ref="S40:V42"/>
    <mergeCell ref="W40:AA42"/>
    <mergeCell ref="AB40:AF42"/>
    <mergeCell ref="I35:V35"/>
    <mergeCell ref="AB35:AL35"/>
    <mergeCell ref="AR35:BB35"/>
    <mergeCell ref="C36:H36"/>
    <mergeCell ref="I36:BB36"/>
    <mergeCell ref="C39:BB39"/>
    <mergeCell ref="G21:K21"/>
    <mergeCell ref="I37:BB37"/>
    <mergeCell ref="I31:BB31"/>
    <mergeCell ref="C32:H32"/>
    <mergeCell ref="I32:BB32"/>
    <mergeCell ref="I33:BB33"/>
    <mergeCell ref="C34:H34"/>
    <mergeCell ref="I34:V34"/>
    <mergeCell ref="W34:AA34"/>
    <mergeCell ref="AB34:AL34"/>
    <mergeCell ref="D21:E21"/>
    <mergeCell ref="G25:T25"/>
    <mergeCell ref="X25:AJ25"/>
    <mergeCell ref="AR34:BB34"/>
    <mergeCell ref="C28:P28"/>
    <mergeCell ref="Q28:BB28"/>
    <mergeCell ref="I29:BB29"/>
    <mergeCell ref="C30:H30"/>
    <mergeCell ref="I30:BB30"/>
    <mergeCell ref="AM34:AQ34"/>
    <mergeCell ref="X9:AC10"/>
    <mergeCell ref="X11:AC11"/>
    <mergeCell ref="AK24:AP24"/>
    <mergeCell ref="AQ24:BB24"/>
    <mergeCell ref="L21:N21"/>
    <mergeCell ref="C15:BB15"/>
    <mergeCell ref="C24:F24"/>
    <mergeCell ref="G24:T24"/>
    <mergeCell ref="U24:W24"/>
    <mergeCell ref="X24:AJ24"/>
    <mergeCell ref="AS56:AV56"/>
    <mergeCell ref="B1:BC1"/>
    <mergeCell ref="F12:L12"/>
    <mergeCell ref="G26:BB26"/>
    <mergeCell ref="G27:BB27"/>
    <mergeCell ref="P11:Q11"/>
    <mergeCell ref="R11:W11"/>
    <mergeCell ref="R9:W10"/>
    <mergeCell ref="AD9:AL10"/>
    <mergeCell ref="AD11:AL11"/>
    <mergeCell ref="C59:H59"/>
    <mergeCell ref="I59:AA59"/>
    <mergeCell ref="AL58:BB58"/>
    <mergeCell ref="AB59:AJ59"/>
    <mergeCell ref="AK59:BB59"/>
    <mergeCell ref="AT53:AU53"/>
    <mergeCell ref="AS54:AV54"/>
    <mergeCell ref="K55:AQ55"/>
    <mergeCell ref="K56:AQ56"/>
    <mergeCell ref="AT55:AU55"/>
    <mergeCell ref="C57:H57"/>
    <mergeCell ref="AX79:BB79"/>
    <mergeCell ref="AS86:AW87"/>
    <mergeCell ref="AS84:BB85"/>
    <mergeCell ref="AX86:BB87"/>
    <mergeCell ref="AQ76:AS79"/>
    <mergeCell ref="AT77:BB77"/>
    <mergeCell ref="AT78:BB78"/>
    <mergeCell ref="AQ80:AS80"/>
    <mergeCell ref="AT80:BB80"/>
    <mergeCell ref="AN92:AR92"/>
    <mergeCell ref="AI84:AM87"/>
    <mergeCell ref="AI88:AM88"/>
    <mergeCell ref="AT79:AW79"/>
    <mergeCell ref="AN76:AP79"/>
    <mergeCell ref="AK78:AM79"/>
    <mergeCell ref="AK80:AM80"/>
    <mergeCell ref="AN80:AP80"/>
    <mergeCell ref="AT81:BB81"/>
    <mergeCell ref="AK81:AM81"/>
    <mergeCell ref="AI92:AM92"/>
    <mergeCell ref="AN88:AR88"/>
    <mergeCell ref="AN89:AR89"/>
    <mergeCell ref="AH78:AJ79"/>
    <mergeCell ref="AS92:AW92"/>
    <mergeCell ref="AX89:BB89"/>
    <mergeCell ref="AX90:BB90"/>
    <mergeCell ref="AX91:BB91"/>
    <mergeCell ref="AX92:BB92"/>
    <mergeCell ref="AS91:AW91"/>
    <mergeCell ref="AN84:AR87"/>
    <mergeCell ref="AE90:AH90"/>
    <mergeCell ref="AA91:AD91"/>
    <mergeCell ref="AE91:AH91"/>
    <mergeCell ref="AN90:AR90"/>
    <mergeCell ref="AN91:AR91"/>
    <mergeCell ref="AI91:AM91"/>
    <mergeCell ref="AA92:AD92"/>
    <mergeCell ref="AE92:AH92"/>
    <mergeCell ref="AE89:AH89"/>
    <mergeCell ref="W84:Z87"/>
    <mergeCell ref="W88:Z88"/>
    <mergeCell ref="W89:Z89"/>
    <mergeCell ref="W90:Z90"/>
    <mergeCell ref="W91:Z91"/>
    <mergeCell ref="W92:Z92"/>
    <mergeCell ref="AA90:AD90"/>
    <mergeCell ref="O91:R91"/>
    <mergeCell ref="O92:R92"/>
    <mergeCell ref="O84:R87"/>
    <mergeCell ref="O88:R88"/>
    <mergeCell ref="O89:R89"/>
    <mergeCell ref="O90:R90"/>
  </mergeCells>
  <printOptions/>
  <pageMargins left="0.6299212598425197" right="0.5511811023622047" top="0.2362204724409449" bottom="0.31496062992125984" header="0.1968503937007874" footer="0.1968503937007874"/>
  <pageSetup horizontalDpi="300" verticalDpi="300" orientation="portrait" paperSize="9" scale="76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375" style="158" customWidth="1"/>
    <col min="2" max="2" width="19.375" style="158" customWidth="1"/>
    <col min="3" max="4" width="9.125" style="158" customWidth="1"/>
    <col min="5" max="5" width="20.625" style="158" customWidth="1"/>
    <col min="6" max="6" width="13.125" style="158" customWidth="1"/>
    <col min="7" max="14" width="9.125" style="158" customWidth="1"/>
    <col min="15" max="15" width="17.25390625" style="158" bestFit="1" customWidth="1"/>
    <col min="16" max="16384" width="9.125" style="158" customWidth="1"/>
  </cols>
  <sheetData>
    <row r="1" spans="1:20" ht="15">
      <c r="A1" s="141"/>
      <c r="B1" s="141"/>
      <c r="C1" s="141"/>
      <c r="D1" s="141" t="s">
        <v>202</v>
      </c>
      <c r="E1" s="142">
        <f>'ТТН-1 (книжный)'!AG50</f>
        <v>58008.8</v>
      </c>
      <c r="F1" s="141" t="s">
        <v>203</v>
      </c>
      <c r="G1" s="156"/>
      <c r="H1" s="157"/>
      <c r="I1" s="141"/>
      <c r="J1" s="141"/>
      <c r="K1" s="141"/>
      <c r="L1" s="141"/>
      <c r="M1" s="141"/>
      <c r="N1" s="141" t="s">
        <v>202</v>
      </c>
      <c r="O1" s="142">
        <f>'ТТН-1 (книжный)'!AR185</f>
        <v>348052</v>
      </c>
      <c r="P1" s="141" t="s">
        <v>203</v>
      </c>
      <c r="Q1" s="156"/>
      <c r="R1" s="157"/>
      <c r="S1" s="141"/>
      <c r="T1" s="141"/>
    </row>
    <row r="2" spans="1:20" ht="15">
      <c r="A2" s="159" t="s">
        <v>44</v>
      </c>
      <c r="B2" s="140" t="str">
        <f>SUBSTITUTE(B4,F8,F9,1)</f>
        <v>Пятьдесят восемь тысяч восемь </v>
      </c>
      <c r="C2" s="141"/>
      <c r="D2" s="141"/>
      <c r="E2" s="142"/>
      <c r="F2" s="141"/>
      <c r="G2" s="141"/>
      <c r="H2" s="143"/>
      <c r="I2" s="144"/>
      <c r="J2" s="143"/>
      <c r="K2" s="159" t="s">
        <v>44</v>
      </c>
      <c r="L2" s="140" t="str">
        <f>SUBSTITUTE(L4,P8,P9,1)</f>
        <v>Триста сорок восемь тысяч пятьдесят два  </v>
      </c>
      <c r="M2" s="141"/>
      <c r="N2" s="141"/>
      <c r="O2" s="142"/>
      <c r="P2" s="141"/>
      <c r="Q2" s="141"/>
      <c r="R2" s="143"/>
      <c r="S2" s="144"/>
      <c r="T2" s="143"/>
    </row>
    <row r="3" spans="1:20" ht="12.75">
      <c r="A3" s="159" t="s">
        <v>45</v>
      </c>
      <c r="B3" s="145" t="str">
        <f>SUBSTITUTE(B5,F8,F9,1)</f>
        <v>Пятьдесят восемь тысяч восемь  (в т.ч. НДС - 0)</v>
      </c>
      <c r="C3" s="141"/>
      <c r="D3" s="141"/>
      <c r="E3" s="141"/>
      <c r="F3" s="141"/>
      <c r="G3" s="141"/>
      <c r="H3" s="143"/>
      <c r="I3" s="143"/>
      <c r="J3" s="143"/>
      <c r="K3" s="159" t="s">
        <v>45</v>
      </c>
      <c r="L3" s="145" t="str">
        <f>SUBSTITUTE(L5,P8,P9,1)</f>
        <v>Триста сорок восемь тысяч пятьдесят два   (в т.ч. НДС - 0)</v>
      </c>
      <c r="M3" s="141"/>
      <c r="N3" s="141"/>
      <c r="O3" s="141"/>
      <c r="P3" s="141"/>
      <c r="Q3" s="141"/>
      <c r="R3" s="143"/>
      <c r="S3" s="143"/>
      <c r="T3" s="143"/>
    </row>
    <row r="4" spans="1:20" ht="12.75">
      <c r="A4" s="159" t="s">
        <v>46</v>
      </c>
      <c r="B4" s="145" t="str">
        <f>CONCATENATE(A7,A8,A9,A10,A11)</f>
        <v>пятьдесят восемь тысяч восемь </v>
      </c>
      <c r="C4" s="141"/>
      <c r="D4" s="141"/>
      <c r="E4" s="141"/>
      <c r="F4" s="141"/>
      <c r="G4" s="141"/>
      <c r="H4" s="146"/>
      <c r="I4" s="141"/>
      <c r="J4" s="141"/>
      <c r="K4" s="159" t="s">
        <v>46</v>
      </c>
      <c r="L4" s="145" t="str">
        <f>CONCATENATE(K7,K8,K9,K10,K11)</f>
        <v>триста сорок восемь тысяч пятьдесят два  </v>
      </c>
      <c r="M4" s="141"/>
      <c r="N4" s="141"/>
      <c r="O4" s="141"/>
      <c r="P4" s="141"/>
      <c r="Q4" s="141"/>
      <c r="R4" s="146"/>
      <c r="S4" s="141"/>
      <c r="T4" s="141"/>
    </row>
    <row r="5" spans="1:20" ht="12.75">
      <c r="A5" s="159" t="s">
        <v>47</v>
      </c>
      <c r="B5" s="145" t="str">
        <f>CONCATENATE(A7,A8,A9,A10,A11,B7,B8,C8)</f>
        <v>пятьдесят восемь тысяч восемь  (в т.ч. НДС - 0)</v>
      </c>
      <c r="C5" s="141"/>
      <c r="D5" s="141"/>
      <c r="E5" s="141"/>
      <c r="F5" s="145"/>
      <c r="G5" s="145"/>
      <c r="H5" s="147"/>
      <c r="I5" s="145"/>
      <c r="J5" s="145"/>
      <c r="K5" s="159" t="s">
        <v>47</v>
      </c>
      <c r="L5" s="145" t="str">
        <f>CONCATENATE(K7,K8,K9,K10,K11,L7,L8,M8)</f>
        <v>триста сорок восемь тысяч пятьдесят два   (в т.ч. НДС - 0)</v>
      </c>
      <c r="M5" s="141"/>
      <c r="N5" s="141"/>
      <c r="O5" s="141"/>
      <c r="P5" s="145"/>
      <c r="Q5" s="145"/>
      <c r="R5" s="147"/>
      <c r="S5" s="145"/>
      <c r="T5" s="145"/>
    </row>
    <row r="6" spans="1:20" ht="12.75">
      <c r="A6" s="141"/>
      <c r="B6" s="141"/>
      <c r="C6" s="141"/>
      <c r="D6" s="146"/>
      <c r="E6" s="141"/>
      <c r="F6" s="141"/>
      <c r="G6" s="141"/>
      <c r="H6" s="450" t="s">
        <v>204</v>
      </c>
      <c r="I6" s="450"/>
      <c r="J6" s="450"/>
      <c r="K6" s="141"/>
      <c r="L6" s="141"/>
      <c r="M6" s="141"/>
      <c r="N6" s="146"/>
      <c r="O6" s="141"/>
      <c r="P6" s="141"/>
      <c r="Q6" s="141"/>
      <c r="R6" s="450" t="s">
        <v>204</v>
      </c>
      <c r="S6" s="450"/>
      <c r="T6" s="450"/>
    </row>
    <row r="7" spans="1:20" ht="12.75">
      <c r="A7" s="145">
        <f>CONCATENATE(IF(B14=0,"",E14),IF(B15=0,"",IF(C16&lt;20,IF(C16&lt;16,IF(C16&lt;10,E15,D16),F16),E15)),IF(B16=0,"",IF(NOT(B15=1),E16,"")),F17)</f>
      </c>
      <c r="B7" s="141" t="s">
        <v>205</v>
      </c>
      <c r="C7" s="141"/>
      <c r="D7" s="146"/>
      <c r="E7" s="141"/>
      <c r="F7" s="148">
        <f>CODE(B5)</f>
        <v>239</v>
      </c>
      <c r="G7" s="145"/>
      <c r="H7" s="450"/>
      <c r="I7" s="450"/>
      <c r="J7" s="450"/>
      <c r="K7" s="145">
        <f>CONCATENATE(IF(L14=0,"",O14),IF(L15=0,"",IF(M16&lt;20,IF(M16&lt;16,IF(M16&lt;10,O15,N16),P16),O15)),IF(L16=0,"",IF(NOT(L15=1),O16,"")),P17)</f>
      </c>
      <c r="L7" s="141" t="s">
        <v>205</v>
      </c>
      <c r="M7" s="141"/>
      <c r="N7" s="146"/>
      <c r="O7" s="141"/>
      <c r="P7" s="148">
        <f>CODE(L5)</f>
        <v>242</v>
      </c>
      <c r="Q7" s="145"/>
      <c r="R7" s="450"/>
      <c r="S7" s="450"/>
      <c r="T7" s="450"/>
    </row>
    <row r="8" spans="1:20" ht="12.75">
      <c r="A8" s="145">
        <f>CONCATENATE(IF(B18=0,"",E18),IF(B19=0,"",IF(C20&lt;20,IF(C20&lt;16,IF(C20&lt;10,E19,D20),F20),E19)),IF(B20=0,"",IF(NOT(B19=1),E20,"")),F21)</f>
      </c>
      <c r="B8" s="149">
        <f>ROUND((G1),2)</f>
        <v>0</v>
      </c>
      <c r="C8" s="141" t="s">
        <v>206</v>
      </c>
      <c r="D8" s="150"/>
      <c r="E8" s="141"/>
      <c r="F8" s="148" t="str">
        <f>CHAR(F7)</f>
        <v>п</v>
      </c>
      <c r="G8" s="145"/>
      <c r="H8" s="450"/>
      <c r="I8" s="450"/>
      <c r="J8" s="450"/>
      <c r="K8" s="145">
        <f>CONCATENATE(IF(L18=0,"",O18),IF(L19=0,"",IF(M20&lt;20,IF(M20&lt;16,IF(M20&lt;10,O19,N20),P20),O19)),IF(L20=0,"",IF(NOT(L19=1),O20,"")),P21)</f>
      </c>
      <c r="L8" s="149">
        <f>ROUND((Q1),2)</f>
        <v>0</v>
      </c>
      <c r="M8" s="141" t="s">
        <v>206</v>
      </c>
      <c r="N8" s="150"/>
      <c r="O8" s="141"/>
      <c r="P8" s="148" t="str">
        <f>CHAR(P7)</f>
        <v>т</v>
      </c>
      <c r="Q8" s="145"/>
      <c r="R8" s="450"/>
      <c r="S8" s="450"/>
      <c r="T8" s="450"/>
    </row>
    <row r="9" spans="1:20" ht="12.75">
      <c r="A9" s="145" t="str">
        <f>CONCATENATE(IF(B22=0,"",E22),IF(B23=0,"",IF(C24&lt;20,IF(C24&lt;16,IF(C24&lt;10,E23,D24),F24),E23)),IF(B24=0,"",IF(NOT(B23=1),E24,"")),F25)</f>
        <v>пятьдесят восемь тысяч </v>
      </c>
      <c r="B9" s="145"/>
      <c r="C9" s="145"/>
      <c r="D9" s="147"/>
      <c r="E9" s="151"/>
      <c r="F9" s="148" t="str">
        <f>PROPER(F8)</f>
        <v>П</v>
      </c>
      <c r="G9" s="145"/>
      <c r="H9" s="450"/>
      <c r="I9" s="450"/>
      <c r="J9" s="450"/>
      <c r="K9" s="145" t="str">
        <f>CONCATENATE(IF(L22=0,"",O22),IF(L23=0,"",IF(M24&lt;20,IF(M24&lt;16,IF(M24&lt;10,O23,N24),P24),O23)),IF(L24=0,"",IF(NOT(L23=1),O24,"")),P25)</f>
        <v>триста сорок восемь тысяч </v>
      </c>
      <c r="L9" s="145"/>
      <c r="M9" s="145"/>
      <c r="N9" s="147"/>
      <c r="O9" s="151"/>
      <c r="P9" s="148" t="str">
        <f>PROPER(P8)</f>
        <v>Т</v>
      </c>
      <c r="Q9" s="145"/>
      <c r="R9" s="450"/>
      <c r="S9" s="450"/>
      <c r="T9" s="450"/>
    </row>
    <row r="10" spans="1:20" ht="12.75">
      <c r="A10" s="145" t="str">
        <f>CONCATENATE(IF(B26=0,"",E26),IF(B27=0,"",IF(C28&lt;20,IF(C28&lt;16,IF(C28&lt;10,E27,D28),F28),E27)),IF(B28=0,"",IF(NOT(B27=1),E28,"")),F29)</f>
        <v>восемь </v>
      </c>
      <c r="B10" s="145"/>
      <c r="C10" s="145"/>
      <c r="D10" s="147"/>
      <c r="E10" s="151"/>
      <c r="F10" s="145"/>
      <c r="G10" s="145"/>
      <c r="H10" s="450"/>
      <c r="I10" s="450"/>
      <c r="J10" s="450"/>
      <c r="K10" s="145" t="str">
        <f>CONCATENATE(IF(L26=0,"",O26),IF(L27=0,"",IF(M28&lt;20,IF(M28&lt;16,IF(M28&lt;10,O27,N28),P28),O27)),IF(L28=0,"",IF(NOT(L27=1),O28,"")),P29)</f>
        <v>пятьдесят два </v>
      </c>
      <c r="L10" s="145"/>
      <c r="M10" s="145"/>
      <c r="N10" s="147"/>
      <c r="O10" s="151"/>
      <c r="P10" s="145"/>
      <c r="Q10" s="145"/>
      <c r="R10" s="450"/>
      <c r="S10" s="450"/>
      <c r="T10" s="450"/>
    </row>
    <row r="11" spans="1:20" ht="12.75">
      <c r="A11" s="145">
        <f>CONCATENATE(IF(B30=0,"",IF(C31&lt;20,IF(C31&lt;16,IF(C31&lt;10,E30,D31),F31),E30)),IF(B31=0,"",IF(NOT(B30=1),E31,"")),F32)</f>
      </c>
      <c r="B11" s="145"/>
      <c r="C11" s="145"/>
      <c r="D11" s="147"/>
      <c r="E11" s="151"/>
      <c r="F11" s="145"/>
      <c r="G11" s="145"/>
      <c r="H11" s="145"/>
      <c r="I11" s="145"/>
      <c r="J11" s="145"/>
      <c r="K11" s="145" t="str">
        <f>CONCATENATE(IF(L30=0,"",IF(M31&lt;20,IF(M31&lt;16,IF(M31&lt;10,O30,N31),P31),O30)),IF(L31=0,"",IF(NOT(L30=1),O31,"")),P32)</f>
        <v> </v>
      </c>
      <c r="L11" s="145"/>
      <c r="M11" s="145"/>
      <c r="N11" s="147"/>
      <c r="O11" s="151"/>
      <c r="P11" s="145"/>
      <c r="Q11" s="145"/>
      <c r="R11" s="145"/>
      <c r="S11" s="145"/>
      <c r="T11" s="145"/>
    </row>
    <row r="12" spans="1:20" ht="12.75">
      <c r="A12" s="160"/>
      <c r="B12" s="145"/>
      <c r="C12" s="145"/>
      <c r="D12" s="145"/>
      <c r="E12" s="152">
        <f>TRUNC(E1)</f>
        <v>58008</v>
      </c>
      <c r="F12" s="145" t="s">
        <v>48</v>
      </c>
      <c r="G12" s="145"/>
      <c r="H12" s="147"/>
      <c r="I12" s="145"/>
      <c r="J12" s="145"/>
      <c r="K12" s="160"/>
      <c r="L12" s="145"/>
      <c r="M12" s="145"/>
      <c r="N12" s="145"/>
      <c r="O12" s="152">
        <f>TRUNC(O1)</f>
        <v>348052</v>
      </c>
      <c r="P12" s="145" t="s">
        <v>48</v>
      </c>
      <c r="Q12" s="145"/>
      <c r="R12" s="147"/>
      <c r="S12" s="145"/>
      <c r="T12" s="145"/>
    </row>
    <row r="13" spans="1:20" ht="12.75">
      <c r="A13" s="161">
        <f>TRUNC(A14/10)</f>
        <v>0</v>
      </c>
      <c r="B13" s="147"/>
      <c r="C13" s="145"/>
      <c r="D13" s="145"/>
      <c r="E13" s="145"/>
      <c r="F13" s="145"/>
      <c r="G13" s="145"/>
      <c r="H13" s="147"/>
      <c r="I13" s="145"/>
      <c r="J13" s="145"/>
      <c r="K13" s="161">
        <f>TRUNC(K14/10)</f>
        <v>0</v>
      </c>
      <c r="L13" s="147"/>
      <c r="M13" s="145"/>
      <c r="N13" s="145"/>
      <c r="O13" s="145"/>
      <c r="P13" s="145"/>
      <c r="Q13" s="145"/>
      <c r="R13" s="147"/>
      <c r="S13" s="145"/>
      <c r="T13" s="145"/>
    </row>
    <row r="14" spans="1:20" ht="12.75">
      <c r="A14" s="161">
        <f>TRUNC(A15/10)</f>
        <v>0</v>
      </c>
      <c r="B14" s="147">
        <f>TRUNC(RIGHT(A14))</f>
        <v>0</v>
      </c>
      <c r="C14" s="145">
        <f>B14</f>
        <v>0</v>
      </c>
      <c r="D14" s="145"/>
      <c r="E14" s="162" t="str">
        <f>IF(B14=1,E42,IF(B14=2,G34,IF(B14=3,G35,IF(B14=4,G36,IF(B14=5,G37,IF(B14=6,G38,IF(B14=7,G39,IF(B14=8,G40,G41))))))))</f>
        <v>девятьсот </v>
      </c>
      <c r="F14" s="145"/>
      <c r="G14" s="145"/>
      <c r="H14" s="147"/>
      <c r="I14" s="145"/>
      <c r="J14" s="145"/>
      <c r="K14" s="161">
        <f>TRUNC(K15/10)</f>
        <v>0</v>
      </c>
      <c r="L14" s="147">
        <f>TRUNC(RIGHT(K14))</f>
        <v>0</v>
      </c>
      <c r="M14" s="145">
        <f>L14</f>
        <v>0</v>
      </c>
      <c r="N14" s="145"/>
      <c r="O14" s="162" t="str">
        <f>IF(L14=1,O42,IF(L14=2,Q34,IF(L14=3,Q35,IF(L14=4,Q36,IF(L14=5,Q37,IF(L14=6,Q38,IF(L14=7,Q39,IF(L14=8,Q40,Q41))))))))</f>
        <v>девятьсот </v>
      </c>
      <c r="P14" s="145"/>
      <c r="Q14" s="145"/>
      <c r="R14" s="147"/>
      <c r="S14" s="145"/>
      <c r="T14" s="145"/>
    </row>
    <row r="15" spans="1:20" ht="12.75">
      <c r="A15" s="161">
        <f>TRUNC(A16/10)</f>
        <v>0</v>
      </c>
      <c r="B15" s="147">
        <f>TRUNC(RIGHT(A15))</f>
        <v>0</v>
      </c>
      <c r="C15" s="145">
        <f>IF(B15=1,"",B15)</f>
        <v>0</v>
      </c>
      <c r="D15" s="145"/>
      <c r="E15" s="153">
        <f>IF(OR(C15=0,B15=1),"",IF(B15=2,E34,IF(B15=3,E35,IF(B15=4,E36,IF(B15=5,E37,IF(B15=6,E38,IF(B15=7,E39,IF(B15=8,E40,E41))))))))</f>
      </c>
      <c r="F15" s="145"/>
      <c r="G15" s="145"/>
      <c r="H15" s="147"/>
      <c r="I15" s="145"/>
      <c r="J15" s="145"/>
      <c r="K15" s="161">
        <f>TRUNC(K16/10)</f>
        <v>0</v>
      </c>
      <c r="L15" s="147">
        <f>TRUNC(RIGHT(K15))</f>
        <v>0</v>
      </c>
      <c r="M15" s="145">
        <f>IF(L15=1,"",L15)</f>
        <v>0</v>
      </c>
      <c r="N15" s="145"/>
      <c r="O15" s="153">
        <f>IF(OR(M15=0,L15=1),"",IF(L15=2,O34,IF(L15=3,O35,IF(L15=4,O36,IF(L15=5,O37,IF(L15=6,O38,IF(L15=7,O39,IF(L15=8,O40,O41))))))))</f>
      </c>
      <c r="P15" s="145"/>
      <c r="Q15" s="145"/>
      <c r="R15" s="147"/>
      <c r="S15" s="145"/>
      <c r="T15" s="145"/>
    </row>
    <row r="16" spans="1:20" ht="12.75">
      <c r="A16" s="161">
        <f>TRUNC(A18/10)</f>
        <v>0</v>
      </c>
      <c r="B16" s="147">
        <f>TRUNC(RIGHT(A16))</f>
        <v>0</v>
      </c>
      <c r="C16" s="145">
        <f>IF(B15=1,B16+10,IF(B16=0,0,B16))</f>
        <v>0</v>
      </c>
      <c r="D16" s="145">
        <f>IF(AND(C16&gt;9,C16&lt;16),IF(C16=10,D33,IF(C16=11,D34,IF(C16=12,D35,IF(C16=13,D36,IF(C16=14,D37,IF(C16=15,D38,)))))),"")</f>
      </c>
      <c r="E16" s="153" t="str">
        <f>IF(B16=1,A33,IF(B16=2,A34,IF(B16=3,A35,IF(B16=4,A36,IF(B16=5,A37,IF(B16=6,A38,IF(B16=7,A39,IF(B16=8,A40,A41))))))))</f>
        <v>девять </v>
      </c>
      <c r="F16" s="145">
        <f>IF(AND(C16&gt;15,C16&lt;20),IF(C16=16,D39,IF(C16=17,D40,IF(C16=18,D41,IF(C16=19,D42,)))),"")</f>
      </c>
      <c r="G16" s="145"/>
      <c r="H16" s="147"/>
      <c r="I16" s="145"/>
      <c r="J16" s="145"/>
      <c r="K16" s="161">
        <f>TRUNC(K18/10)</f>
        <v>0</v>
      </c>
      <c r="L16" s="147">
        <f>TRUNC(RIGHT(K16))</f>
        <v>0</v>
      </c>
      <c r="M16" s="145">
        <f>IF(L15=1,L16+10,IF(L16=0,0,L16))</f>
        <v>0</v>
      </c>
      <c r="N16" s="145">
        <f>IF(AND(M16&gt;9,M16&lt;16),IF(M16=10,N33,IF(M16=11,N34,IF(M16=12,N35,IF(M16=13,N36,IF(M16=14,N37,IF(M16=15,N38,)))))),"")</f>
      </c>
      <c r="O16" s="153" t="str">
        <f>IF(L16=1,K33,IF(L16=2,K34,IF(L16=3,K35,IF(L16=4,K36,IF(L16=5,K37,IF(L16=6,K38,IF(L16=7,K39,IF(L16=8,K40,K41))))))))</f>
        <v>девять </v>
      </c>
      <c r="P16" s="145">
        <f>IF(AND(M16&gt;15,M16&lt;20),IF(M16=16,N39,IF(M16=17,N40,IF(M16=18,N41,IF(M16=19,N42,)))),"")</f>
      </c>
      <c r="Q16" s="145"/>
      <c r="R16" s="147"/>
      <c r="S16" s="145"/>
      <c r="T16" s="145"/>
    </row>
    <row r="17" spans="1:20" ht="12.75">
      <c r="A17" s="161"/>
      <c r="B17" s="147"/>
      <c r="C17" s="145"/>
      <c r="D17" s="147"/>
      <c r="E17" s="145">
        <f>B16+B15*10+B14*100</f>
        <v>0</v>
      </c>
      <c r="F17" s="145">
        <f>IF(E17=0,"",IF(B15=1,"миллиардов ",IF(B16=1,"милиард ",IF(OR(B16=2,B16=3,B16=4),"миллиарда ","милиардов "))))</f>
      </c>
      <c r="G17" s="145"/>
      <c r="H17" s="147"/>
      <c r="I17" s="145"/>
      <c r="J17" s="145"/>
      <c r="K17" s="161"/>
      <c r="L17" s="147"/>
      <c r="M17" s="145"/>
      <c r="N17" s="147"/>
      <c r="O17" s="145">
        <f>L16+L15*10+L14*100</f>
        <v>0</v>
      </c>
      <c r="P17" s="145">
        <f>IF(O17=0,"",IF(L15=1,"миллиардов ",IF(L16=1,"милиард ",IF(OR(L16=2,L16=3,L16=4),"миллиарда ","милиардов "))))</f>
      </c>
      <c r="Q17" s="145"/>
      <c r="R17" s="147"/>
      <c r="S17" s="145"/>
      <c r="T17" s="145"/>
    </row>
    <row r="18" spans="1:20" ht="12.75">
      <c r="A18" s="161">
        <f>TRUNC(A19/10)</f>
        <v>0</v>
      </c>
      <c r="B18" s="147">
        <f>TRUNC(RIGHT(A18))</f>
        <v>0</v>
      </c>
      <c r="C18" s="145">
        <f>B18</f>
        <v>0</v>
      </c>
      <c r="D18" s="145"/>
      <c r="E18" s="162" t="str">
        <f>IF(B18=1,E42,IF(B18=2,G34,IF(B18=3,G35,IF(B18=4,G36,IF(B18=5,G37,IF(B18=6,G38,IF(B18=7,G39,IF(B18=8,G40,G41))))))))</f>
        <v>девятьсот </v>
      </c>
      <c r="F18" s="145"/>
      <c r="G18" s="145"/>
      <c r="H18" s="147"/>
      <c r="I18" s="145"/>
      <c r="J18" s="145"/>
      <c r="K18" s="161">
        <f>TRUNC(K19/10)</f>
        <v>0</v>
      </c>
      <c r="L18" s="147">
        <f>TRUNC(RIGHT(K18))</f>
        <v>0</v>
      </c>
      <c r="M18" s="145">
        <f>L18</f>
        <v>0</v>
      </c>
      <c r="N18" s="145"/>
      <c r="O18" s="162" t="str">
        <f>IF(L18=1,O42,IF(L18=2,Q34,IF(L18=3,Q35,IF(L18=4,Q36,IF(L18=5,Q37,IF(L18=6,Q38,IF(L18=7,Q39,IF(L18=8,Q40,Q41))))))))</f>
        <v>девятьсот </v>
      </c>
      <c r="P18" s="145"/>
      <c r="Q18" s="145"/>
      <c r="R18" s="147"/>
      <c r="S18" s="145"/>
      <c r="T18" s="145"/>
    </row>
    <row r="19" spans="1:20" ht="12.75">
      <c r="A19" s="161">
        <f>TRUNC(A20/10)</f>
        <v>0</v>
      </c>
      <c r="B19" s="147">
        <f>TRUNC(RIGHT(A19))</f>
        <v>0</v>
      </c>
      <c r="C19" s="145">
        <f>IF(B19=1,"",B19)</f>
        <v>0</v>
      </c>
      <c r="D19" s="145"/>
      <c r="E19" s="153">
        <f>IF(OR(C19=0,B19=1),"",IF(B19=2,E34,IF(B19=3,E35,IF(B19=4,E36,IF(B19=5,E37,IF(B19=6,E38,IF(B19=7,E39,IF(B19=8,E40,E41))))))))</f>
      </c>
      <c r="F19" s="145"/>
      <c r="G19" s="141"/>
      <c r="H19" s="146"/>
      <c r="I19" s="141"/>
      <c r="J19" s="141"/>
      <c r="K19" s="161">
        <f>TRUNC(K20/10)</f>
        <v>0</v>
      </c>
      <c r="L19" s="147">
        <f>TRUNC(RIGHT(K19))</f>
        <v>0</v>
      </c>
      <c r="M19" s="145">
        <f>IF(L19=1,"",L19)</f>
        <v>0</v>
      </c>
      <c r="N19" s="145"/>
      <c r="O19" s="153">
        <f>IF(OR(M19=0,L19=1),"",IF(L19=2,O34,IF(L19=3,O35,IF(L19=4,O36,IF(L19=5,O37,IF(L19=6,O38,IF(L19=7,O39,IF(L19=8,O40,O41))))))))</f>
      </c>
      <c r="P19" s="145"/>
      <c r="Q19" s="141"/>
      <c r="R19" s="146"/>
      <c r="S19" s="141"/>
      <c r="T19" s="141"/>
    </row>
    <row r="20" spans="1:20" ht="12.75">
      <c r="A20" s="161">
        <f>TRUNC(A22/10)</f>
        <v>0</v>
      </c>
      <c r="B20" s="147">
        <f>TRUNC(RIGHT(A20))</f>
        <v>0</v>
      </c>
      <c r="C20" s="145">
        <f>IF(B19=1,B20+10,IF(B20=0,0,B20))</f>
        <v>0</v>
      </c>
      <c r="D20" s="145">
        <f>IF(AND(C20&gt;9,C20&lt;16),IF(C20=10,D33,IF(C20=11,D34,IF(C20=12,D35,IF(C20=13,D36,IF(C20=14,D37,IF(C20=15,D38,)))))),"")</f>
      </c>
      <c r="E20" s="153" t="str">
        <f>IF(B20=1,A33,IF(B20=2,A34,IF(B20=3,A35,IF(B20=4,A36,IF(B20=5,A37,IF(B20=6,A38,IF(B20=7,A39,IF(B20=8,A40,A41))))))))</f>
        <v>девять </v>
      </c>
      <c r="F20" s="145">
        <f>IF(AND(C20&gt;15,C20&lt;20),IF(C20=16,D39,IF(C20=17,D40,IF(C20=18,D41,IF(C20=19,D42,)))),"")</f>
      </c>
      <c r="G20" s="145"/>
      <c r="H20" s="145"/>
      <c r="I20" s="145"/>
      <c r="J20" s="145"/>
      <c r="K20" s="161">
        <f>TRUNC(K22/10)</f>
        <v>0</v>
      </c>
      <c r="L20" s="147">
        <f>TRUNC(RIGHT(K20))</f>
        <v>0</v>
      </c>
      <c r="M20" s="145">
        <f>IF(L19=1,L20+10,IF(L20=0,0,L20))</f>
        <v>0</v>
      </c>
      <c r="N20" s="145">
        <f>IF(AND(M20&gt;9,M20&lt;16),IF(M20=10,N33,IF(M20=11,N34,IF(M20=12,N35,IF(M20=13,N36,IF(M20=14,N37,IF(M20=15,N38,)))))),"")</f>
      </c>
      <c r="O20" s="153" t="str">
        <f>IF(L20=1,K33,IF(L20=2,K34,IF(L20=3,K35,IF(L20=4,K36,IF(L20=5,K37,IF(L20=6,K38,IF(L20=7,K39,IF(L20=8,K40,K41))))))))</f>
        <v>девять </v>
      </c>
      <c r="P20" s="145">
        <f>IF(AND(M20&gt;15,M20&lt;20),IF(M20=16,N39,IF(M20=17,N40,IF(M20=18,N41,IF(M20=19,N42,)))),"")</f>
      </c>
      <c r="Q20" s="145"/>
      <c r="R20" s="145"/>
      <c r="S20" s="145"/>
      <c r="T20" s="145"/>
    </row>
    <row r="21" spans="1:20" ht="12.75">
      <c r="A21" s="161"/>
      <c r="B21" s="147"/>
      <c r="C21" s="145"/>
      <c r="D21" s="145"/>
      <c r="E21" s="145">
        <f>B20+B19*10+B18*100</f>
        <v>0</v>
      </c>
      <c r="F21" s="145">
        <f>IF(E21=0,"",IF(B19=1,"миллионов ",IF(B20=1,"миллион ",IF(OR(B20=2,B20=3,B20=4),"миллиона ","миллионов "))))</f>
      </c>
      <c r="G21" s="145"/>
      <c r="H21" s="145"/>
      <c r="I21" s="145"/>
      <c r="J21" s="145"/>
      <c r="K21" s="161"/>
      <c r="L21" s="147"/>
      <c r="M21" s="145"/>
      <c r="N21" s="145"/>
      <c r="O21" s="145">
        <f>L20+L19*10+L18*100</f>
        <v>0</v>
      </c>
      <c r="P21" s="145">
        <f>IF(O21=0,"",IF(L19=1,"миллионов ",IF(L20=1,"миллион ",IF(OR(L20=2,L20=3,L20=4),"миллиона ","миллионов "))))</f>
      </c>
      <c r="Q21" s="145"/>
      <c r="R21" s="145"/>
      <c r="S21" s="145"/>
      <c r="T21" s="145"/>
    </row>
    <row r="22" spans="1:20" ht="12.75">
      <c r="A22" s="161">
        <f>TRUNC(A23/10)</f>
        <v>0</v>
      </c>
      <c r="B22" s="147">
        <f>TRUNC(RIGHT(A22))</f>
        <v>0</v>
      </c>
      <c r="C22" s="145">
        <f>B22</f>
        <v>0</v>
      </c>
      <c r="D22" s="145"/>
      <c r="E22" s="162" t="str">
        <f>IF(B22=1,E42,IF(B22=2,G34,IF(B22=3,G35,IF(B22=4,G36,IF(B22=5,G37,IF(B22=6,G38,IF(B22=7,G39,IF(B22=8,G40,G41))))))))</f>
        <v>девятьсот </v>
      </c>
      <c r="F22" s="145"/>
      <c r="G22" s="145"/>
      <c r="H22" s="145"/>
      <c r="I22" s="154"/>
      <c r="J22" s="145"/>
      <c r="K22" s="161">
        <f>TRUNC(K23/10)</f>
        <v>3</v>
      </c>
      <c r="L22" s="147">
        <f>TRUNC(RIGHT(K22))</f>
        <v>3</v>
      </c>
      <c r="M22" s="145">
        <f>L22</f>
        <v>3</v>
      </c>
      <c r="N22" s="145"/>
      <c r="O22" s="162" t="str">
        <f>IF(L22=1,O42,IF(L22=2,Q34,IF(L22=3,Q35,IF(L22=4,Q36,IF(L22=5,Q37,IF(L22=6,Q38,IF(L22=7,Q39,IF(L22=8,Q40,Q41))))))))</f>
        <v>триста </v>
      </c>
      <c r="P22" s="145"/>
      <c r="Q22" s="145"/>
      <c r="R22" s="145"/>
      <c r="S22" s="154"/>
      <c r="T22" s="145"/>
    </row>
    <row r="23" spans="1:20" ht="12.75">
      <c r="A23" s="161">
        <f>TRUNC(A24/10)</f>
        <v>5</v>
      </c>
      <c r="B23" s="147">
        <f>TRUNC(RIGHT(A23))</f>
        <v>5</v>
      </c>
      <c r="C23" s="145">
        <f>IF(B23=1,"",B23)</f>
        <v>5</v>
      </c>
      <c r="D23" s="145"/>
      <c r="E23" s="153" t="str">
        <f>IF(OR(C23=0,B23=1),"",IF(B23=2,E34,IF(B23=3,E35,IF(B23=4,E36,IF(B23=5,E37,IF(B23=6,E38,IF(B23=7,E39,IF(B23=8,E40,E41))))))))</f>
        <v>пятьдесят </v>
      </c>
      <c r="F23" s="145"/>
      <c r="G23" s="145"/>
      <c r="H23" s="145"/>
      <c r="I23" s="145"/>
      <c r="J23" s="145"/>
      <c r="K23" s="161">
        <f>TRUNC(K24/10)</f>
        <v>34</v>
      </c>
      <c r="L23" s="147">
        <f>TRUNC(RIGHT(K23))</f>
        <v>4</v>
      </c>
      <c r="M23" s="145">
        <f>IF(L23=1,"",L23)</f>
        <v>4</v>
      </c>
      <c r="N23" s="145"/>
      <c r="O23" s="153" t="str">
        <f>IF(OR(M23=0,L23=1),"",IF(L23=2,O34,IF(L23=3,O35,IF(L23=4,O36,IF(L23=5,O37,IF(L23=6,O38,IF(L23=7,O39,IF(L23=8,O40,O41))))))))</f>
        <v>сорок </v>
      </c>
      <c r="P23" s="145"/>
      <c r="Q23" s="145"/>
      <c r="R23" s="145"/>
      <c r="S23" s="145"/>
      <c r="T23" s="145"/>
    </row>
    <row r="24" spans="1:20" ht="12.75">
      <c r="A24" s="161">
        <f>TRUNC(A26/10)</f>
        <v>58</v>
      </c>
      <c r="B24" s="147">
        <f>TRUNC(RIGHT(A24))</f>
        <v>8</v>
      </c>
      <c r="C24" s="145">
        <f>IF(B23=1,B24+10,IF(B24=0,0,B24))</f>
        <v>8</v>
      </c>
      <c r="D24" s="145">
        <f>IF(AND(C24&gt;9,C24&lt;16),IF(C24=10,D33,IF(C24=11,D34,IF(C24=12,D35,IF(C24=13,D36,IF(C24=14,D37,IF(C24=15,D38,)))))),"")</f>
      </c>
      <c r="E24" s="153" t="str">
        <f>IF(B24=1,B33,IF(B24=2,B34,IF(B24=3,A35,IF(B24=4,A36,IF(B24=5,A37,IF(B24=6,A38,IF(B24=7,A39,IF(B24=8,A40,A41))))))))</f>
        <v>восемь </v>
      </c>
      <c r="F24" s="145">
        <f>IF(AND(C24&gt;15,C24&lt;20),IF(C24=16,D39,IF(C24=17,D40,IF(C24=18,D41,IF(C24=19,D42,)))),"")</f>
      </c>
      <c r="G24" s="145"/>
      <c r="H24" s="145"/>
      <c r="I24" s="145"/>
      <c r="J24" s="145"/>
      <c r="K24" s="161">
        <f>TRUNC(K26/10)</f>
        <v>348</v>
      </c>
      <c r="L24" s="147">
        <f>TRUNC(RIGHT(K24))</f>
        <v>8</v>
      </c>
      <c r="M24" s="145">
        <f>IF(L23=1,L24+10,IF(L24=0,0,L24))</f>
        <v>8</v>
      </c>
      <c r="N24" s="145">
        <f>IF(AND(M24&gt;9,M24&lt;16),IF(M24=10,N33,IF(M24=11,N34,IF(M24=12,N35,IF(M24=13,N36,IF(M24=14,N37,IF(M24=15,N38,)))))),"")</f>
      </c>
      <c r="O24" s="153" t="str">
        <f>IF(L24=1,L33,IF(L24=2,L34,IF(L24=3,K35,IF(L24=4,K36,IF(L24=5,K37,IF(L24=6,K38,IF(L24=7,K39,IF(L24=8,K40,K41))))))))</f>
        <v>восемь </v>
      </c>
      <c r="P24" s="145">
        <f>IF(AND(M24&gt;15,M24&lt;20),IF(M24=16,N39,IF(M24=17,N40,IF(M24=18,N41,IF(M24=19,N42,)))),"")</f>
      </c>
      <c r="Q24" s="145"/>
      <c r="R24" s="145"/>
      <c r="S24" s="145"/>
      <c r="T24" s="145"/>
    </row>
    <row r="25" spans="1:20" ht="12.75">
      <c r="A25" s="161"/>
      <c r="B25" s="147"/>
      <c r="C25" s="145"/>
      <c r="D25" s="145"/>
      <c r="E25" s="153">
        <f>B22*100+B23*10+B24</f>
        <v>58</v>
      </c>
      <c r="F25" s="145" t="str">
        <f>IF(E25=0,"",IF(B23=1,"тысяч ",IF(B24=1,"тысяча ",IF(OR(B24=2,B24=3,B24=4),"тысячи ","тысяч "))))</f>
        <v>тысяч </v>
      </c>
      <c r="G25" s="145"/>
      <c r="H25" s="145"/>
      <c r="I25" s="145"/>
      <c r="J25" s="145"/>
      <c r="K25" s="161"/>
      <c r="L25" s="147"/>
      <c r="M25" s="145"/>
      <c r="N25" s="145"/>
      <c r="O25" s="153">
        <f>L22*100+L23*10+L24</f>
        <v>348</v>
      </c>
      <c r="P25" s="145" t="str">
        <f>IF(O25=0,"",IF(L23=1,"тысяч ",IF(L24=1,"тысяча ",IF(OR(L24=2,L24=3,L24=4),"тысячи ","тысяч "))))</f>
        <v>тысяч </v>
      </c>
      <c r="Q25" s="145"/>
      <c r="R25" s="145"/>
      <c r="S25" s="145"/>
      <c r="T25" s="145"/>
    </row>
    <row r="26" spans="1:20" ht="12.75">
      <c r="A26" s="161">
        <f>TRUNC(A27/10)</f>
        <v>580</v>
      </c>
      <c r="B26" s="147">
        <f>TRUNC(RIGHT(A26))</f>
        <v>0</v>
      </c>
      <c r="C26" s="145">
        <f>B26</f>
        <v>0</v>
      </c>
      <c r="D26" s="145"/>
      <c r="E26" s="162" t="str">
        <f>IF(B26=1,E42,IF(B26=2,G34,IF(B26=3,G35,IF(B26=4,G36,IF(B26=5,G37,IF(B26=6,G38,IF(B26=7,G39,IF(B26=8,G40,G41))))))))</f>
        <v>девятьсот </v>
      </c>
      <c r="F26" s="145"/>
      <c r="G26" s="145"/>
      <c r="H26" s="145"/>
      <c r="I26" s="145"/>
      <c r="J26" s="145"/>
      <c r="K26" s="161">
        <f>TRUNC(K27/10)</f>
        <v>3480</v>
      </c>
      <c r="L26" s="147">
        <f>TRUNC(RIGHT(K26))</f>
        <v>0</v>
      </c>
      <c r="M26" s="145">
        <f>L26</f>
        <v>0</v>
      </c>
      <c r="N26" s="145"/>
      <c r="O26" s="162" t="str">
        <f>IF(L26=1,O42,IF(L26=2,Q34,IF(L26=3,Q35,IF(L26=4,Q36,IF(L26=5,Q37,IF(L26=6,Q38,IF(L26=7,Q39,IF(L26=8,Q40,Q41))))))))</f>
        <v>девятьсот </v>
      </c>
      <c r="P26" s="145"/>
      <c r="Q26" s="145"/>
      <c r="R26" s="145"/>
      <c r="S26" s="145"/>
      <c r="T26" s="145"/>
    </row>
    <row r="27" spans="1:20" ht="12.75">
      <c r="A27" s="161">
        <f>TRUNC(A28/10)</f>
        <v>5800</v>
      </c>
      <c r="B27" s="155">
        <f>TRUNC(RIGHT(A27))</f>
        <v>0</v>
      </c>
      <c r="C27" s="145">
        <f>IF(B27=1,"",B27)</f>
        <v>0</v>
      </c>
      <c r="D27" s="145"/>
      <c r="E27" s="153">
        <f>IF(OR(C27=0,B27=1),"",IF(C27=2,E34,IF(C27=3,E35,IF(C27=4,E36,IF(C27=5,E37,IF(C27=6,E38,IF(C27=7,E39,IF(C27=8,E40,E41))))))))</f>
      </c>
      <c r="F27" s="145"/>
      <c r="G27" s="147"/>
      <c r="H27" s="145"/>
      <c r="I27" s="145"/>
      <c r="J27" s="145"/>
      <c r="K27" s="161">
        <f>TRUNC(K28/10)</f>
        <v>34805</v>
      </c>
      <c r="L27" s="155">
        <f>TRUNC(RIGHT(K27))</f>
        <v>5</v>
      </c>
      <c r="M27" s="145">
        <f>IF(L27=1,"",L27)</f>
        <v>5</v>
      </c>
      <c r="N27" s="145"/>
      <c r="O27" s="153" t="str">
        <f>IF(OR(M27=0,L27=1),"",IF(M27=2,O34,IF(M27=3,O35,IF(M27=4,O36,IF(M27=5,O37,IF(M27=6,O38,IF(M27=7,O39,IF(M27=8,O40,O41))))))))</f>
        <v>пятьдесят </v>
      </c>
      <c r="P27" s="145"/>
      <c r="Q27" s="147"/>
      <c r="R27" s="145"/>
      <c r="S27" s="145"/>
      <c r="T27" s="145"/>
    </row>
    <row r="28" spans="1:20" ht="12.75">
      <c r="A28" s="161">
        <f>E12</f>
        <v>58008</v>
      </c>
      <c r="B28" s="147">
        <f>TRUNC(RIGHT(A28))</f>
        <v>8</v>
      </c>
      <c r="C28" s="145">
        <f>IF(B27=1,B28+10,IF(B28=0,0,B28))</f>
        <v>8</v>
      </c>
      <c r="D28" s="145">
        <f>IF(AND(C28&gt;9,C28&lt;16),IF(C28=10,D33,IF(C28=11,D34,IF(C28=12,D35,IF(C28=13,D36,IF(C28=14,D37,IF(C28=15,D38,)))))),"")</f>
      </c>
      <c r="E28" s="153" t="str">
        <f>IF(B28=1,A33,IF(B28=2,A34,IF(B28=3,A35,IF(B28=4,A36,IF(B28=5,A37,IF(B28=6,A38,IF(B28=7,A39,IF(B28=8,A40,A41))))))))</f>
        <v>восемь </v>
      </c>
      <c r="F28" s="145">
        <f>IF(AND(C28&gt;15,C28&lt;20),IF(C28=16,D39,IF(C28=17,D40,IF(C28=18,D41,IF(C28=19,D42,)))),"")</f>
      </c>
      <c r="G28" s="147"/>
      <c r="H28" s="145"/>
      <c r="I28" s="145"/>
      <c r="J28" s="145"/>
      <c r="K28" s="161">
        <f>O12</f>
        <v>348052</v>
      </c>
      <c r="L28" s="147">
        <f>TRUNC(RIGHT(K28))</f>
        <v>2</v>
      </c>
      <c r="M28" s="145">
        <f>IF(L27=1,L28+10,IF(L28=0,0,L28))</f>
        <v>2</v>
      </c>
      <c r="N28" s="145">
        <f>IF(AND(M28&gt;9,M28&lt;16),IF(M28=10,N33,IF(M28=11,N34,IF(M28=12,N35,IF(M28=13,N36,IF(M28=14,N37,IF(M28=15,N38,)))))),"")</f>
      </c>
      <c r="O28" s="153" t="str">
        <f>IF(L28=1,K33,IF(L28=2,K34,IF(L28=3,K35,IF(L28=4,K36,IF(L28=5,K37,IF(L28=6,K38,IF(L28=7,K39,IF(L28=8,K40,K41))))))))</f>
        <v>два </v>
      </c>
      <c r="P28" s="145">
        <f>IF(AND(M28&gt;15,M28&lt;20),IF(M28=16,N39,IF(M28=17,N40,IF(M28=18,N41,IF(M28=19,N42,)))),"")</f>
      </c>
      <c r="Q28" s="147"/>
      <c r="R28" s="145"/>
      <c r="S28" s="145"/>
      <c r="T28" s="145"/>
    </row>
    <row r="29" spans="1:20" ht="12.75">
      <c r="A29" s="160"/>
      <c r="B29" s="155"/>
      <c r="C29" s="147"/>
      <c r="D29" s="145"/>
      <c r="E29" s="153">
        <f>B26*100+B27*10+B28</f>
        <v>8</v>
      </c>
      <c r="F29" s="145">
        <f>IF(E29+E25+E21+E17=0,"ноль",IF(C28=1,"",IF(OR(C28=2,C28=3,C28=4),"","")))</f>
      </c>
      <c r="G29" s="147"/>
      <c r="H29" s="145"/>
      <c r="I29" s="145"/>
      <c r="J29" s="145"/>
      <c r="K29" s="160"/>
      <c r="L29" s="155"/>
      <c r="M29" s="147"/>
      <c r="N29" s="145"/>
      <c r="O29" s="153">
        <f>L26*100+L27*10+L28</f>
        <v>52</v>
      </c>
      <c r="P29" s="145">
        <f>IF(O29+O25+O21+O17=0,"ноль",IF(M28=1,"",IF(OR(M28=2,M28=3,M28=4),"","")))</f>
      </c>
      <c r="Q29" s="147"/>
      <c r="R29" s="145"/>
      <c r="S29" s="145"/>
      <c r="T29" s="145"/>
    </row>
    <row r="30" spans="1:20" ht="12.75">
      <c r="A30" s="161">
        <f>TRUNC(A31/10)</f>
        <v>8</v>
      </c>
      <c r="B30" s="155">
        <f>TRUNC(RIGHT(A30))</f>
        <v>8</v>
      </c>
      <c r="C30" s="145">
        <f>IF(B30=1,"",B30)</f>
        <v>8</v>
      </c>
      <c r="D30" s="145"/>
      <c r="E30" s="153"/>
      <c r="F30" s="145"/>
      <c r="G30" s="145"/>
      <c r="H30" s="147"/>
      <c r="I30" s="145"/>
      <c r="J30" s="145"/>
      <c r="K30" s="161">
        <f>TRUNC(K31/10)</f>
        <v>0</v>
      </c>
      <c r="L30" s="155">
        <f>TRUNC(RIGHT(K30))</f>
        <v>0</v>
      </c>
      <c r="M30" s="145">
        <f>IF(L30=1,"",L30)</f>
        <v>0</v>
      </c>
      <c r="N30" s="145"/>
      <c r="O30" s="153">
        <f>IF(OR(M30=1,M30=0),"",IF(M30=2,O34,IF(M30=3,O35,IF(M30=4,O36,IF(M30=5,O37,IF(M30=6,O38,IF(M30=7,O39,IF(M30=8,O40,O41))))))))</f>
      </c>
      <c r="P30" s="145"/>
      <c r="Q30" s="145"/>
      <c r="R30" s="147"/>
      <c r="S30" s="145"/>
      <c r="T30" s="145"/>
    </row>
    <row r="31" spans="1:20" ht="12.75">
      <c r="A31" s="161">
        <f>ROUND(E1,2)*100-ROUND(E12,2)*100</f>
        <v>80</v>
      </c>
      <c r="B31" s="147">
        <f>TRUNC(RIGHT(A31))</f>
        <v>0</v>
      </c>
      <c r="C31" s="145">
        <f>IF(B30=1,B31+10,IF(B31=0,0,B31))</f>
        <v>0</v>
      </c>
      <c r="D31" s="145"/>
      <c r="E31" s="153"/>
      <c r="F31" s="145">
        <f>IF(AND(C31&gt;15,C31&lt;20),IF(C31=16,D39,IF(C31=17,D40,IF(C31=18,D41,IF(C31=19,D42,)))),"")</f>
      </c>
      <c r="G31" s="145"/>
      <c r="H31" s="147"/>
      <c r="I31" s="145"/>
      <c r="J31" s="145"/>
      <c r="K31" s="161">
        <f>ROUND(O1,2)*100-ROUND(O12,2)*100</f>
        <v>0</v>
      </c>
      <c r="L31" s="147">
        <f>TRUNC(RIGHT(K31))</f>
        <v>0</v>
      </c>
      <c r="M31" s="145">
        <f>IF(L30=1,L31+10,IF(L31=0,0,L31))</f>
        <v>0</v>
      </c>
      <c r="N31" s="145">
        <f>IF(AND(M31&gt;9,M31&lt;16),IF(M31=10,N33,IF(M31=11,N34,IF(M31=12,N35,IF(M31=13,N36,IF(M31=14,N37,IF(M31=15,N38,)))))),"")</f>
      </c>
      <c r="O31" s="153" t="str">
        <f>IF(M31=1,L33,IF(M31=2,L34,IF(M31=3,K35,IF(M31=4,K36,IF(M31=5,K37,IF(M31=6,K38,IF(M31=7,K39,IF(M31=8,K40,K41))))))))</f>
        <v>девять </v>
      </c>
      <c r="P31" s="145">
        <f>IF(AND(M31&gt;15,M31&lt;20),IF(M31=16,N39,IF(M31=17,N40,IF(M31=18,N41,IF(M31=19,N42,)))),"")</f>
      </c>
      <c r="Q31" s="145"/>
      <c r="R31" s="147"/>
      <c r="S31" s="145"/>
      <c r="T31" s="145"/>
    </row>
    <row r="32" spans="1:20" ht="12.75">
      <c r="A32" s="145"/>
      <c r="B32" s="145"/>
      <c r="C32" s="145"/>
      <c r="D32" s="145"/>
      <c r="E32" s="153">
        <f>B30*10+B31</f>
        <v>80</v>
      </c>
      <c r="F32" s="145"/>
      <c r="G32" s="145"/>
      <c r="H32" s="147"/>
      <c r="I32" s="145"/>
      <c r="J32" s="145"/>
      <c r="K32" s="145"/>
      <c r="L32" s="145"/>
      <c r="M32" s="145"/>
      <c r="N32" s="145"/>
      <c r="O32" s="153">
        <f>L30*10+L31</f>
        <v>0</v>
      </c>
      <c r="P32" s="145" t="str">
        <f>IF(O32=0," ",IF(M31=1,"копейка ",IF(OR(M31=2,M31=3,M31=4),"копейки ","копеек ")))</f>
        <v> </v>
      </c>
      <c r="Q32" s="145"/>
      <c r="R32" s="147"/>
      <c r="S32" s="145"/>
      <c r="T32" s="145"/>
    </row>
    <row r="33" spans="1:20" ht="12.75">
      <c r="A33" s="145" t="s">
        <v>49</v>
      </c>
      <c r="B33" s="145" t="s">
        <v>50</v>
      </c>
      <c r="C33" s="145"/>
      <c r="D33" s="145" t="s">
        <v>51</v>
      </c>
      <c r="E33" s="145"/>
      <c r="F33" s="145"/>
      <c r="G33" s="145"/>
      <c r="H33" s="147"/>
      <c r="I33" s="145"/>
      <c r="J33" s="145"/>
      <c r="K33" s="145" t="s">
        <v>49</v>
      </c>
      <c r="L33" s="145" t="s">
        <v>50</v>
      </c>
      <c r="M33" s="145"/>
      <c r="N33" s="145" t="s">
        <v>51</v>
      </c>
      <c r="O33" s="145"/>
      <c r="P33" s="145"/>
      <c r="Q33" s="145"/>
      <c r="R33" s="147"/>
      <c r="S33" s="145"/>
      <c r="T33" s="145"/>
    </row>
    <row r="34" spans="1:20" ht="12.75">
      <c r="A34" s="145" t="s">
        <v>52</v>
      </c>
      <c r="B34" s="145" t="s">
        <v>53</v>
      </c>
      <c r="C34" s="145"/>
      <c r="D34" s="145" t="s">
        <v>54</v>
      </c>
      <c r="E34" s="145" t="s">
        <v>55</v>
      </c>
      <c r="F34" s="145"/>
      <c r="G34" s="145" t="s">
        <v>56</v>
      </c>
      <c r="H34" s="145"/>
      <c r="I34" s="145"/>
      <c r="J34" s="145"/>
      <c r="K34" s="145" t="s">
        <v>52</v>
      </c>
      <c r="L34" s="145" t="s">
        <v>53</v>
      </c>
      <c r="M34" s="145"/>
      <c r="N34" s="145" t="s">
        <v>54</v>
      </c>
      <c r="O34" s="145" t="s">
        <v>55</v>
      </c>
      <c r="P34" s="145"/>
      <c r="Q34" s="145" t="s">
        <v>56</v>
      </c>
      <c r="R34" s="145"/>
      <c r="S34" s="145"/>
      <c r="T34" s="145"/>
    </row>
    <row r="35" spans="1:20" ht="12.75">
      <c r="A35" s="145" t="s">
        <v>57</v>
      </c>
      <c r="B35" s="145"/>
      <c r="C35" s="145"/>
      <c r="D35" s="145" t="s">
        <v>58</v>
      </c>
      <c r="E35" s="145" t="s">
        <v>59</v>
      </c>
      <c r="F35" s="145"/>
      <c r="G35" s="145" t="s">
        <v>60</v>
      </c>
      <c r="H35" s="145"/>
      <c r="I35" s="145"/>
      <c r="J35" s="145"/>
      <c r="K35" s="145" t="s">
        <v>57</v>
      </c>
      <c r="L35" s="145"/>
      <c r="M35" s="145"/>
      <c r="N35" s="145" t="s">
        <v>58</v>
      </c>
      <c r="O35" s="145" t="s">
        <v>59</v>
      </c>
      <c r="P35" s="145"/>
      <c r="Q35" s="145" t="s">
        <v>60</v>
      </c>
      <c r="R35" s="145"/>
      <c r="S35" s="145"/>
      <c r="T35" s="145"/>
    </row>
    <row r="36" spans="1:20" ht="12.75">
      <c r="A36" s="145" t="s">
        <v>61</v>
      </c>
      <c r="B36" s="145"/>
      <c r="C36" s="145"/>
      <c r="D36" s="145" t="s">
        <v>62</v>
      </c>
      <c r="E36" s="145" t="s">
        <v>63</v>
      </c>
      <c r="F36" s="145"/>
      <c r="G36" s="145" t="s">
        <v>64</v>
      </c>
      <c r="H36" s="145"/>
      <c r="I36" s="145"/>
      <c r="J36" s="145"/>
      <c r="K36" s="145" t="s">
        <v>61</v>
      </c>
      <c r="L36" s="145"/>
      <c r="M36" s="145"/>
      <c r="N36" s="145" t="s">
        <v>62</v>
      </c>
      <c r="O36" s="145" t="s">
        <v>63</v>
      </c>
      <c r="P36" s="145"/>
      <c r="Q36" s="145" t="s">
        <v>64</v>
      </c>
      <c r="R36" s="145"/>
      <c r="S36" s="145"/>
      <c r="T36" s="145"/>
    </row>
    <row r="37" spans="1:20" ht="12.75">
      <c r="A37" s="145" t="s">
        <v>65</v>
      </c>
      <c r="B37" s="145"/>
      <c r="C37" s="145"/>
      <c r="D37" s="145" t="s">
        <v>66</v>
      </c>
      <c r="E37" s="145" t="s">
        <v>67</v>
      </c>
      <c r="F37" s="145"/>
      <c r="G37" s="145" t="s">
        <v>68</v>
      </c>
      <c r="H37" s="145"/>
      <c r="I37" s="145"/>
      <c r="J37" s="145"/>
      <c r="K37" s="145" t="s">
        <v>65</v>
      </c>
      <c r="L37" s="145"/>
      <c r="M37" s="145"/>
      <c r="N37" s="145" t="s">
        <v>66</v>
      </c>
      <c r="O37" s="145" t="s">
        <v>67</v>
      </c>
      <c r="P37" s="145"/>
      <c r="Q37" s="145" t="s">
        <v>68</v>
      </c>
      <c r="R37" s="145"/>
      <c r="S37" s="145"/>
      <c r="T37" s="145"/>
    </row>
    <row r="38" spans="1:20" ht="12.75">
      <c r="A38" s="145" t="s">
        <v>69</v>
      </c>
      <c r="B38" s="145"/>
      <c r="C38" s="145"/>
      <c r="D38" s="145" t="s">
        <v>70</v>
      </c>
      <c r="E38" s="145" t="s">
        <v>71</v>
      </c>
      <c r="F38" s="145"/>
      <c r="G38" s="145" t="s">
        <v>72</v>
      </c>
      <c r="H38" s="145"/>
      <c r="I38" s="145"/>
      <c r="J38" s="145"/>
      <c r="K38" s="145" t="s">
        <v>69</v>
      </c>
      <c r="L38" s="145"/>
      <c r="M38" s="145"/>
      <c r="N38" s="145" t="s">
        <v>70</v>
      </c>
      <c r="O38" s="145" t="s">
        <v>71</v>
      </c>
      <c r="P38" s="145"/>
      <c r="Q38" s="145" t="s">
        <v>72</v>
      </c>
      <c r="R38" s="145"/>
      <c r="S38" s="145"/>
      <c r="T38" s="145"/>
    </row>
    <row r="39" spans="1:20" ht="12.75">
      <c r="A39" s="145" t="s">
        <v>73</v>
      </c>
      <c r="B39" s="145"/>
      <c r="C39" s="145"/>
      <c r="D39" s="145" t="s">
        <v>74</v>
      </c>
      <c r="E39" s="145" t="s">
        <v>75</v>
      </c>
      <c r="F39" s="145"/>
      <c r="G39" s="145" t="s">
        <v>76</v>
      </c>
      <c r="H39" s="145"/>
      <c r="I39" s="145"/>
      <c r="J39" s="145"/>
      <c r="K39" s="145" t="s">
        <v>73</v>
      </c>
      <c r="L39" s="145"/>
      <c r="M39" s="145"/>
      <c r="N39" s="145" t="s">
        <v>74</v>
      </c>
      <c r="O39" s="145" t="s">
        <v>75</v>
      </c>
      <c r="P39" s="145"/>
      <c r="Q39" s="145" t="s">
        <v>76</v>
      </c>
      <c r="R39" s="145"/>
      <c r="S39" s="145"/>
      <c r="T39" s="145"/>
    </row>
    <row r="40" spans="1:20" ht="12.75">
      <c r="A40" s="145" t="s">
        <v>77</v>
      </c>
      <c r="B40" s="145"/>
      <c r="C40" s="145"/>
      <c r="D40" s="145" t="s">
        <v>78</v>
      </c>
      <c r="E40" s="145" t="s">
        <v>79</v>
      </c>
      <c r="F40" s="145"/>
      <c r="G40" s="145" t="s">
        <v>80</v>
      </c>
      <c r="H40" s="145"/>
      <c r="I40" s="145"/>
      <c r="J40" s="145"/>
      <c r="K40" s="145" t="s">
        <v>77</v>
      </c>
      <c r="L40" s="145"/>
      <c r="M40" s="145"/>
      <c r="N40" s="145" t="s">
        <v>78</v>
      </c>
      <c r="O40" s="145" t="s">
        <v>79</v>
      </c>
      <c r="P40" s="145"/>
      <c r="Q40" s="145" t="s">
        <v>80</v>
      </c>
      <c r="R40" s="145"/>
      <c r="S40" s="145"/>
      <c r="T40" s="145"/>
    </row>
    <row r="41" spans="1:20" ht="12.75">
      <c r="A41" s="145" t="s">
        <v>81</v>
      </c>
      <c r="B41" s="145"/>
      <c r="C41" s="145"/>
      <c r="D41" s="145" t="s">
        <v>82</v>
      </c>
      <c r="E41" s="145" t="s">
        <v>83</v>
      </c>
      <c r="F41" s="145"/>
      <c r="G41" s="145" t="s">
        <v>84</v>
      </c>
      <c r="H41" s="145"/>
      <c r="I41" s="145"/>
      <c r="J41" s="145"/>
      <c r="K41" s="145" t="s">
        <v>81</v>
      </c>
      <c r="L41" s="145"/>
      <c r="M41" s="145"/>
      <c r="N41" s="145" t="s">
        <v>82</v>
      </c>
      <c r="O41" s="145" t="s">
        <v>83</v>
      </c>
      <c r="P41" s="145"/>
      <c r="Q41" s="145" t="s">
        <v>84</v>
      </c>
      <c r="R41" s="145"/>
      <c r="S41" s="145"/>
      <c r="T41" s="145"/>
    </row>
    <row r="42" spans="1:20" ht="12.75">
      <c r="A42" s="145"/>
      <c r="B42" s="145"/>
      <c r="C42" s="145"/>
      <c r="D42" s="145" t="s">
        <v>85</v>
      </c>
      <c r="E42" s="145" t="s">
        <v>86</v>
      </c>
      <c r="F42" s="145"/>
      <c r="G42" s="145"/>
      <c r="H42" s="147"/>
      <c r="I42" s="145"/>
      <c r="J42" s="145"/>
      <c r="K42" s="145"/>
      <c r="L42" s="145"/>
      <c r="M42" s="145"/>
      <c r="N42" s="145" t="s">
        <v>85</v>
      </c>
      <c r="O42" s="145" t="s">
        <v>86</v>
      </c>
      <c r="P42" s="145"/>
      <c r="Q42" s="145"/>
      <c r="R42" s="147"/>
      <c r="S42" s="145"/>
      <c r="T42" s="145"/>
    </row>
  </sheetData>
  <sheetProtection/>
  <mergeCells count="2">
    <mergeCell ref="H6:J10"/>
    <mergeCell ref="R6:T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T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375" style="158" customWidth="1"/>
    <col min="2" max="2" width="19.375" style="158" customWidth="1"/>
    <col min="3" max="4" width="9.125" style="158" customWidth="1"/>
    <col min="5" max="5" width="20.625" style="158" customWidth="1"/>
    <col min="6" max="6" width="13.125" style="158" customWidth="1"/>
    <col min="7" max="14" width="9.125" style="158" customWidth="1"/>
    <col min="15" max="15" width="17.25390625" style="158" bestFit="1" customWidth="1"/>
    <col min="16" max="16384" width="9.125" style="158" customWidth="1"/>
  </cols>
  <sheetData>
    <row r="1" spans="1:20" ht="15">
      <c r="A1" s="141"/>
      <c r="B1" s="141"/>
      <c r="C1" s="141"/>
      <c r="D1" s="141" t="s">
        <v>202</v>
      </c>
      <c r="E1" s="142">
        <f>'ТТН-1 (альбомный)'!AR138</f>
        <v>38695</v>
      </c>
      <c r="F1" s="141" t="s">
        <v>203</v>
      </c>
      <c r="G1" s="156"/>
      <c r="H1" s="157"/>
      <c r="I1" s="141"/>
      <c r="J1" s="141"/>
      <c r="K1" s="141"/>
      <c r="L1" s="141"/>
      <c r="M1" s="141"/>
      <c r="N1" s="141" t="s">
        <v>202</v>
      </c>
      <c r="O1" s="142">
        <f>'ТТН-1 (альбомный)'!AR185</f>
        <v>232172</v>
      </c>
      <c r="P1" s="141" t="s">
        <v>203</v>
      </c>
      <c r="Q1" s="156"/>
      <c r="R1" s="157"/>
      <c r="S1" s="141"/>
      <c r="T1" s="141"/>
    </row>
    <row r="2" spans="1:20" ht="15">
      <c r="A2" s="159" t="s">
        <v>44</v>
      </c>
      <c r="B2" s="140" t="str">
        <f>SUBSTITUTE(B4,F8,F9,1)</f>
        <v>Тридцать восемь тысяч шестьсот девяносто пять  </v>
      </c>
      <c r="C2" s="141"/>
      <c r="D2" s="141"/>
      <c r="E2" s="142"/>
      <c r="F2" s="141"/>
      <c r="G2" s="141"/>
      <c r="H2" s="143"/>
      <c r="I2" s="144"/>
      <c r="J2" s="143"/>
      <c r="K2" s="159" t="s">
        <v>44</v>
      </c>
      <c r="L2" s="140" t="str">
        <f>SUBSTITUTE(L4,P8,P9,1)</f>
        <v>Двести тридцать две тысячи сто семьдесят два  </v>
      </c>
      <c r="M2" s="141"/>
      <c r="N2" s="141"/>
      <c r="O2" s="142"/>
      <c r="P2" s="141"/>
      <c r="Q2" s="141"/>
      <c r="R2" s="143"/>
      <c r="S2" s="144"/>
      <c r="T2" s="143"/>
    </row>
    <row r="3" spans="1:20" ht="12.75">
      <c r="A3" s="159" t="s">
        <v>45</v>
      </c>
      <c r="B3" s="145" t="str">
        <f>SUBSTITUTE(B5,F8,F9,1)</f>
        <v>Тридцать восемь тысяч шестьсот девяносто пять   (в т.ч. НДС - 0)</v>
      </c>
      <c r="C3" s="141"/>
      <c r="D3" s="141"/>
      <c r="E3" s="141"/>
      <c r="F3" s="141"/>
      <c r="G3" s="141"/>
      <c r="H3" s="143"/>
      <c r="I3" s="143"/>
      <c r="J3" s="143"/>
      <c r="K3" s="159" t="s">
        <v>45</v>
      </c>
      <c r="L3" s="145" t="str">
        <f>SUBSTITUTE(L5,P8,P9,1)</f>
        <v>Двести тридцать две тысячи сто семьдесят два   (в т.ч. НДС - 0)</v>
      </c>
      <c r="M3" s="141"/>
      <c r="N3" s="141"/>
      <c r="O3" s="141"/>
      <c r="P3" s="141"/>
      <c r="Q3" s="141"/>
      <c r="R3" s="143"/>
      <c r="S3" s="143"/>
      <c r="T3" s="143"/>
    </row>
    <row r="4" spans="1:20" ht="12.75">
      <c r="A4" s="159" t="s">
        <v>46</v>
      </c>
      <c r="B4" s="145" t="str">
        <f>CONCATENATE(A7,A8,A9,A10,A11)</f>
        <v>тридцать восемь тысяч шестьсот девяносто пять  </v>
      </c>
      <c r="C4" s="141"/>
      <c r="D4" s="141"/>
      <c r="E4" s="141"/>
      <c r="F4" s="141"/>
      <c r="G4" s="141"/>
      <c r="H4" s="146"/>
      <c r="I4" s="141"/>
      <c r="J4" s="141"/>
      <c r="K4" s="159" t="s">
        <v>46</v>
      </c>
      <c r="L4" s="145" t="str">
        <f>CONCATENATE(K7,K8,K9,K10,K11)</f>
        <v>двести тридцать две тысячи сто семьдесят два  </v>
      </c>
      <c r="M4" s="141"/>
      <c r="N4" s="141"/>
      <c r="O4" s="141"/>
      <c r="P4" s="141"/>
      <c r="Q4" s="141"/>
      <c r="R4" s="146"/>
      <c r="S4" s="141"/>
      <c r="T4" s="141"/>
    </row>
    <row r="5" spans="1:20" ht="12.75">
      <c r="A5" s="159" t="s">
        <v>47</v>
      </c>
      <c r="B5" s="145" t="str">
        <f>CONCATENATE(A7,A8,A9,A10,A11,B7,B8,C8)</f>
        <v>тридцать восемь тысяч шестьсот девяносто пять   (в т.ч. НДС - 0)</v>
      </c>
      <c r="C5" s="141"/>
      <c r="D5" s="141"/>
      <c r="E5" s="141"/>
      <c r="F5" s="145"/>
      <c r="G5" s="145"/>
      <c r="H5" s="147"/>
      <c r="I5" s="145"/>
      <c r="J5" s="145"/>
      <c r="K5" s="159" t="s">
        <v>47</v>
      </c>
      <c r="L5" s="145" t="str">
        <f>CONCATENATE(K7,K8,K9,K10,K11,L7,L8,M8)</f>
        <v>двести тридцать две тысячи сто семьдесят два   (в т.ч. НДС - 0)</v>
      </c>
      <c r="M5" s="141"/>
      <c r="N5" s="141"/>
      <c r="O5" s="141"/>
      <c r="P5" s="145"/>
      <c r="Q5" s="145"/>
      <c r="R5" s="147"/>
      <c r="S5" s="145"/>
      <c r="T5" s="145"/>
    </row>
    <row r="6" spans="1:20" ht="12.75">
      <c r="A6" s="141"/>
      <c r="B6" s="141"/>
      <c r="C6" s="141"/>
      <c r="D6" s="146"/>
      <c r="E6" s="141"/>
      <c r="F6" s="141"/>
      <c r="G6" s="141"/>
      <c r="H6" s="450" t="s">
        <v>204</v>
      </c>
      <c r="I6" s="450"/>
      <c r="J6" s="450"/>
      <c r="K6" s="141"/>
      <c r="L6" s="141"/>
      <c r="M6" s="141"/>
      <c r="N6" s="146"/>
      <c r="O6" s="141"/>
      <c r="P6" s="141"/>
      <c r="Q6" s="141"/>
      <c r="R6" s="450" t="s">
        <v>204</v>
      </c>
      <c r="S6" s="450"/>
      <c r="T6" s="450"/>
    </row>
    <row r="7" spans="1:20" ht="12.75">
      <c r="A7" s="145">
        <f>CONCATENATE(IF(B14=0,"",E14),IF(B15=0,"",IF(C16&lt;20,IF(C16&lt;16,IF(C16&lt;10,E15,D16),F16),E15)),IF(B16=0,"",IF(NOT(B15=1),E16,"")),F17)</f>
      </c>
      <c r="B7" s="141" t="s">
        <v>205</v>
      </c>
      <c r="C7" s="141"/>
      <c r="D7" s="146"/>
      <c r="E7" s="141"/>
      <c r="F7" s="148">
        <f>CODE(B5)</f>
        <v>242</v>
      </c>
      <c r="G7" s="145"/>
      <c r="H7" s="450"/>
      <c r="I7" s="450"/>
      <c r="J7" s="450"/>
      <c r="K7" s="145">
        <f>CONCATENATE(IF(L14=0,"",O14),IF(L15=0,"",IF(M16&lt;20,IF(M16&lt;16,IF(M16&lt;10,O15,N16),P16),O15)),IF(L16=0,"",IF(NOT(L15=1),O16,"")),P17)</f>
      </c>
      <c r="L7" s="141" t="s">
        <v>205</v>
      </c>
      <c r="M7" s="141"/>
      <c r="N7" s="146"/>
      <c r="O7" s="141"/>
      <c r="P7" s="148">
        <f>CODE(L5)</f>
        <v>228</v>
      </c>
      <c r="Q7" s="145"/>
      <c r="R7" s="450"/>
      <c r="S7" s="450"/>
      <c r="T7" s="450"/>
    </row>
    <row r="8" spans="1:20" ht="12.75">
      <c r="A8" s="145">
        <f>CONCATENATE(IF(B18=0,"",E18),IF(B19=0,"",IF(C20&lt;20,IF(C20&lt;16,IF(C20&lt;10,E19,D20),F20),E19)),IF(B20=0,"",IF(NOT(B19=1),E20,"")),F21)</f>
      </c>
      <c r="B8" s="149">
        <f>ROUND((G1),2)</f>
        <v>0</v>
      </c>
      <c r="C8" s="141" t="s">
        <v>206</v>
      </c>
      <c r="D8" s="150"/>
      <c r="E8" s="141"/>
      <c r="F8" s="148" t="str">
        <f>CHAR(F7)</f>
        <v>т</v>
      </c>
      <c r="G8" s="145"/>
      <c r="H8" s="450"/>
      <c r="I8" s="450"/>
      <c r="J8" s="450"/>
      <c r="K8" s="145">
        <f>CONCATENATE(IF(L18=0,"",O18),IF(L19=0,"",IF(M20&lt;20,IF(M20&lt;16,IF(M20&lt;10,O19,N20),P20),O19)),IF(L20=0,"",IF(NOT(L19=1),O20,"")),P21)</f>
      </c>
      <c r="L8" s="149">
        <f>ROUND((Q1),2)</f>
        <v>0</v>
      </c>
      <c r="M8" s="141" t="s">
        <v>206</v>
      </c>
      <c r="N8" s="150"/>
      <c r="O8" s="141"/>
      <c r="P8" s="148" t="str">
        <f>CHAR(P7)</f>
        <v>д</v>
      </c>
      <c r="Q8" s="145"/>
      <c r="R8" s="450"/>
      <c r="S8" s="450"/>
      <c r="T8" s="450"/>
    </row>
    <row r="9" spans="1:20" ht="12.75">
      <c r="A9" s="145" t="str">
        <f>CONCATENATE(IF(B22=0,"",E22),IF(B23=0,"",IF(C24&lt;20,IF(C24&lt;16,IF(C24&lt;10,E23,D24),F24),E23)),IF(B24=0,"",IF(NOT(B23=1),E24,"")),F25)</f>
        <v>тридцать восемь тысяч </v>
      </c>
      <c r="B9" s="145"/>
      <c r="C9" s="145"/>
      <c r="D9" s="147"/>
      <c r="E9" s="151"/>
      <c r="F9" s="148" t="str">
        <f>PROPER(F8)</f>
        <v>Т</v>
      </c>
      <c r="G9" s="145"/>
      <c r="H9" s="450"/>
      <c r="I9" s="450"/>
      <c r="J9" s="450"/>
      <c r="K9" s="145" t="str">
        <f>CONCATENATE(IF(L22=0,"",O22),IF(L23=0,"",IF(M24&lt;20,IF(M24&lt;16,IF(M24&lt;10,O23,N24),P24),O23)),IF(L24=0,"",IF(NOT(L23=1),O24,"")),P25)</f>
        <v>двести тридцать две тысячи </v>
      </c>
      <c r="L9" s="145"/>
      <c r="M9" s="145"/>
      <c r="N9" s="147"/>
      <c r="O9" s="151"/>
      <c r="P9" s="148" t="str">
        <f>PROPER(P8)</f>
        <v>Д</v>
      </c>
      <c r="Q9" s="145"/>
      <c r="R9" s="450"/>
      <c r="S9" s="450"/>
      <c r="T9" s="450"/>
    </row>
    <row r="10" spans="1:20" ht="12.75">
      <c r="A10" s="145" t="str">
        <f>CONCATENATE(IF(B26=0,"",E26),IF(B27=0,"",IF(C28&lt;20,IF(C28&lt;16,IF(C28&lt;10,E27,D28),F28),E27)),IF(B28=0,"",IF(NOT(B27=1),E28,"")),F29)</f>
        <v>шестьсот девяносто пять </v>
      </c>
      <c r="B10" s="145"/>
      <c r="C10" s="145"/>
      <c r="D10" s="147"/>
      <c r="E10" s="151"/>
      <c r="F10" s="145"/>
      <c r="G10" s="145"/>
      <c r="H10" s="450"/>
      <c r="I10" s="450"/>
      <c r="J10" s="450"/>
      <c r="K10" s="145" t="str">
        <f>CONCATENATE(IF(L26=0,"",O26),IF(L27=0,"",IF(M28&lt;20,IF(M28&lt;16,IF(M28&lt;10,O27,N28),P28),O27)),IF(L28=0,"",IF(NOT(L27=1),O28,"")),P29)</f>
        <v>сто семьдесят два </v>
      </c>
      <c r="L10" s="145"/>
      <c r="M10" s="145"/>
      <c r="N10" s="147"/>
      <c r="O10" s="151"/>
      <c r="P10" s="145"/>
      <c r="Q10" s="145"/>
      <c r="R10" s="450"/>
      <c r="S10" s="450"/>
      <c r="T10" s="450"/>
    </row>
    <row r="11" spans="1:20" ht="12.75">
      <c r="A11" s="145" t="str">
        <f>CONCATENATE(IF(B30=0,"",IF(C31&lt;20,IF(C31&lt;16,IF(C31&lt;10,E30,D31),F31),E30)),IF(B31=0,"",IF(NOT(B30=1),E31,"")),F32)</f>
        <v> </v>
      </c>
      <c r="B11" s="145"/>
      <c r="C11" s="145"/>
      <c r="D11" s="147"/>
      <c r="E11" s="151"/>
      <c r="F11" s="145"/>
      <c r="G11" s="145"/>
      <c r="H11" s="145"/>
      <c r="I11" s="145"/>
      <c r="J11" s="145"/>
      <c r="K11" s="145" t="str">
        <f>CONCATENATE(IF(L30=0,"",IF(M31&lt;20,IF(M31&lt;16,IF(M31&lt;10,O30,N31),P31),O30)),IF(L31=0,"",IF(NOT(L30=1),O31,"")),P32)</f>
        <v> </v>
      </c>
      <c r="L11" s="145"/>
      <c r="M11" s="145"/>
      <c r="N11" s="147"/>
      <c r="O11" s="151"/>
      <c r="P11" s="145"/>
      <c r="Q11" s="145"/>
      <c r="R11" s="145"/>
      <c r="S11" s="145"/>
      <c r="T11" s="145"/>
    </row>
    <row r="12" spans="1:20" ht="12.75">
      <c r="A12" s="160"/>
      <c r="B12" s="145"/>
      <c r="C12" s="145"/>
      <c r="D12" s="145"/>
      <c r="E12" s="152">
        <f>TRUNC(E1)</f>
        <v>38695</v>
      </c>
      <c r="F12" s="145" t="s">
        <v>48</v>
      </c>
      <c r="G12" s="145"/>
      <c r="H12" s="147"/>
      <c r="I12" s="145"/>
      <c r="J12" s="145"/>
      <c r="K12" s="160"/>
      <c r="L12" s="145"/>
      <c r="M12" s="145"/>
      <c r="N12" s="145"/>
      <c r="O12" s="152">
        <f>TRUNC(O1)</f>
        <v>232172</v>
      </c>
      <c r="P12" s="145" t="s">
        <v>48</v>
      </c>
      <c r="Q12" s="145"/>
      <c r="R12" s="147"/>
      <c r="S12" s="145"/>
      <c r="T12" s="145"/>
    </row>
    <row r="13" spans="1:20" ht="12.75">
      <c r="A13" s="161">
        <f>TRUNC(A14/10)</f>
        <v>0</v>
      </c>
      <c r="B13" s="147"/>
      <c r="C13" s="145"/>
      <c r="D13" s="145"/>
      <c r="E13" s="145"/>
      <c r="F13" s="145"/>
      <c r="G13" s="145"/>
      <c r="H13" s="147"/>
      <c r="I13" s="145"/>
      <c r="J13" s="145"/>
      <c r="K13" s="161">
        <f>TRUNC(K14/10)</f>
        <v>0</v>
      </c>
      <c r="L13" s="147"/>
      <c r="M13" s="145"/>
      <c r="N13" s="145"/>
      <c r="O13" s="145"/>
      <c r="P13" s="145"/>
      <c r="Q13" s="145"/>
      <c r="R13" s="147"/>
      <c r="S13" s="145"/>
      <c r="T13" s="145"/>
    </row>
    <row r="14" spans="1:20" ht="12.75">
      <c r="A14" s="161">
        <f>TRUNC(A15/10)</f>
        <v>0</v>
      </c>
      <c r="B14" s="147">
        <f>TRUNC(RIGHT(A14))</f>
        <v>0</v>
      </c>
      <c r="C14" s="145">
        <f>B14</f>
        <v>0</v>
      </c>
      <c r="D14" s="145"/>
      <c r="E14" s="162" t="str">
        <f>IF(B14=1,E42,IF(B14=2,G34,IF(B14=3,G35,IF(B14=4,G36,IF(B14=5,G37,IF(B14=6,G38,IF(B14=7,G39,IF(B14=8,G40,G41))))))))</f>
        <v>девятьсот </v>
      </c>
      <c r="F14" s="145"/>
      <c r="G14" s="145"/>
      <c r="H14" s="147"/>
      <c r="I14" s="145"/>
      <c r="J14" s="145"/>
      <c r="K14" s="161">
        <f>TRUNC(K15/10)</f>
        <v>0</v>
      </c>
      <c r="L14" s="147">
        <f>TRUNC(RIGHT(K14))</f>
        <v>0</v>
      </c>
      <c r="M14" s="145">
        <f>L14</f>
        <v>0</v>
      </c>
      <c r="N14" s="145"/>
      <c r="O14" s="162" t="str">
        <f>IF(L14=1,O42,IF(L14=2,Q34,IF(L14=3,Q35,IF(L14=4,Q36,IF(L14=5,Q37,IF(L14=6,Q38,IF(L14=7,Q39,IF(L14=8,Q40,Q41))))))))</f>
        <v>девятьсот </v>
      </c>
      <c r="P14" s="145"/>
      <c r="Q14" s="145"/>
      <c r="R14" s="147"/>
      <c r="S14" s="145"/>
      <c r="T14" s="145"/>
    </row>
    <row r="15" spans="1:20" ht="12.75">
      <c r="A15" s="161">
        <f>TRUNC(A16/10)</f>
        <v>0</v>
      </c>
      <c r="B15" s="147">
        <f>TRUNC(RIGHT(A15))</f>
        <v>0</v>
      </c>
      <c r="C15" s="145">
        <f>IF(B15=1,"",B15)</f>
        <v>0</v>
      </c>
      <c r="D15" s="145"/>
      <c r="E15" s="153">
        <f>IF(OR(C15=0,B15=1),"",IF(B15=2,E34,IF(B15=3,E35,IF(B15=4,E36,IF(B15=5,E37,IF(B15=6,E38,IF(B15=7,E39,IF(B15=8,E40,E41))))))))</f>
      </c>
      <c r="F15" s="145"/>
      <c r="G15" s="145"/>
      <c r="H15" s="147"/>
      <c r="I15" s="145"/>
      <c r="J15" s="145"/>
      <c r="K15" s="161">
        <f>TRUNC(K16/10)</f>
        <v>0</v>
      </c>
      <c r="L15" s="147">
        <f>TRUNC(RIGHT(K15))</f>
        <v>0</v>
      </c>
      <c r="M15" s="145">
        <f>IF(L15=1,"",L15)</f>
        <v>0</v>
      </c>
      <c r="N15" s="145"/>
      <c r="O15" s="153">
        <f>IF(OR(M15=0,L15=1),"",IF(L15=2,O34,IF(L15=3,O35,IF(L15=4,O36,IF(L15=5,O37,IF(L15=6,O38,IF(L15=7,O39,IF(L15=8,O40,O41))))))))</f>
      </c>
      <c r="P15" s="145"/>
      <c r="Q15" s="145"/>
      <c r="R15" s="147"/>
      <c r="S15" s="145"/>
      <c r="T15" s="145"/>
    </row>
    <row r="16" spans="1:20" ht="12.75">
      <c r="A16" s="161">
        <f>TRUNC(A18/10)</f>
        <v>0</v>
      </c>
      <c r="B16" s="147">
        <f>TRUNC(RIGHT(A16))</f>
        <v>0</v>
      </c>
      <c r="C16" s="145">
        <f>IF(B15=1,B16+10,IF(B16=0,0,B16))</f>
        <v>0</v>
      </c>
      <c r="D16" s="145">
        <f>IF(AND(C16&gt;9,C16&lt;16),IF(C16=10,D33,IF(C16=11,D34,IF(C16=12,D35,IF(C16=13,D36,IF(C16=14,D37,IF(C16=15,D38,)))))),"")</f>
      </c>
      <c r="E16" s="153" t="str">
        <f>IF(B16=1,A33,IF(B16=2,A34,IF(B16=3,A35,IF(B16=4,A36,IF(B16=5,A37,IF(B16=6,A38,IF(B16=7,A39,IF(B16=8,A40,A41))))))))</f>
        <v>девять </v>
      </c>
      <c r="F16" s="145">
        <f>IF(AND(C16&gt;15,C16&lt;20),IF(C16=16,D39,IF(C16=17,D40,IF(C16=18,D41,IF(C16=19,D42,)))),"")</f>
      </c>
      <c r="G16" s="145"/>
      <c r="H16" s="147"/>
      <c r="I16" s="145"/>
      <c r="J16" s="145"/>
      <c r="K16" s="161">
        <f>TRUNC(K18/10)</f>
        <v>0</v>
      </c>
      <c r="L16" s="147">
        <f>TRUNC(RIGHT(K16))</f>
        <v>0</v>
      </c>
      <c r="M16" s="145">
        <f>IF(L15=1,L16+10,IF(L16=0,0,L16))</f>
        <v>0</v>
      </c>
      <c r="N16" s="145">
        <f>IF(AND(M16&gt;9,M16&lt;16),IF(M16=10,N33,IF(M16=11,N34,IF(M16=12,N35,IF(M16=13,N36,IF(M16=14,N37,IF(M16=15,N38,)))))),"")</f>
      </c>
      <c r="O16" s="153" t="str">
        <f>IF(L16=1,K33,IF(L16=2,K34,IF(L16=3,K35,IF(L16=4,K36,IF(L16=5,K37,IF(L16=6,K38,IF(L16=7,K39,IF(L16=8,K40,K41))))))))</f>
        <v>девять </v>
      </c>
      <c r="P16" s="145">
        <f>IF(AND(M16&gt;15,M16&lt;20),IF(M16=16,N39,IF(M16=17,N40,IF(M16=18,N41,IF(M16=19,N42,)))),"")</f>
      </c>
      <c r="Q16" s="145"/>
      <c r="R16" s="147"/>
      <c r="S16" s="145"/>
      <c r="T16" s="145"/>
    </row>
    <row r="17" spans="1:20" ht="12.75">
      <c r="A17" s="161"/>
      <c r="B17" s="147"/>
      <c r="C17" s="145"/>
      <c r="D17" s="147"/>
      <c r="E17" s="145">
        <f>B16+B15*10+B14*100</f>
        <v>0</v>
      </c>
      <c r="F17" s="145">
        <f>IF(E17=0,"",IF(B15=1,"миллиардов ",IF(B16=1,"милиард ",IF(OR(B16=2,B16=3,B16=4),"миллиарда ","милиардов "))))</f>
      </c>
      <c r="G17" s="145"/>
      <c r="H17" s="147"/>
      <c r="I17" s="145"/>
      <c r="J17" s="145"/>
      <c r="K17" s="161"/>
      <c r="L17" s="147"/>
      <c r="M17" s="145"/>
      <c r="N17" s="147"/>
      <c r="O17" s="145">
        <f>L16+L15*10+L14*100</f>
        <v>0</v>
      </c>
      <c r="P17" s="145">
        <f>IF(O17=0,"",IF(L15=1,"миллиардов ",IF(L16=1,"милиард ",IF(OR(L16=2,L16=3,L16=4),"миллиарда ","милиардов "))))</f>
      </c>
      <c r="Q17" s="145"/>
      <c r="R17" s="147"/>
      <c r="S17" s="145"/>
      <c r="T17" s="145"/>
    </row>
    <row r="18" spans="1:20" ht="12.75">
      <c r="A18" s="161">
        <f>TRUNC(A19/10)</f>
        <v>0</v>
      </c>
      <c r="B18" s="147">
        <f>TRUNC(RIGHT(A18))</f>
        <v>0</v>
      </c>
      <c r="C18" s="145">
        <f>B18</f>
        <v>0</v>
      </c>
      <c r="D18" s="145"/>
      <c r="E18" s="162" t="str">
        <f>IF(B18=1,E42,IF(B18=2,G34,IF(B18=3,G35,IF(B18=4,G36,IF(B18=5,G37,IF(B18=6,G38,IF(B18=7,G39,IF(B18=8,G40,G41))))))))</f>
        <v>девятьсот </v>
      </c>
      <c r="F18" s="145"/>
      <c r="G18" s="145"/>
      <c r="H18" s="147"/>
      <c r="I18" s="145"/>
      <c r="J18" s="145"/>
      <c r="K18" s="161">
        <f>TRUNC(K19/10)</f>
        <v>0</v>
      </c>
      <c r="L18" s="147">
        <f>TRUNC(RIGHT(K18))</f>
        <v>0</v>
      </c>
      <c r="M18" s="145">
        <f>L18</f>
        <v>0</v>
      </c>
      <c r="N18" s="145"/>
      <c r="O18" s="162" t="str">
        <f>IF(L18=1,O42,IF(L18=2,Q34,IF(L18=3,Q35,IF(L18=4,Q36,IF(L18=5,Q37,IF(L18=6,Q38,IF(L18=7,Q39,IF(L18=8,Q40,Q41))))))))</f>
        <v>девятьсот </v>
      </c>
      <c r="P18" s="145"/>
      <c r="Q18" s="145"/>
      <c r="R18" s="147"/>
      <c r="S18" s="145"/>
      <c r="T18" s="145"/>
    </row>
    <row r="19" spans="1:20" ht="12.75">
      <c r="A19" s="161">
        <f>TRUNC(A20/10)</f>
        <v>0</v>
      </c>
      <c r="B19" s="147">
        <f>TRUNC(RIGHT(A19))</f>
        <v>0</v>
      </c>
      <c r="C19" s="145">
        <f>IF(B19=1,"",B19)</f>
        <v>0</v>
      </c>
      <c r="D19" s="145"/>
      <c r="E19" s="153">
        <f>IF(OR(C19=0,B19=1),"",IF(B19=2,E34,IF(B19=3,E35,IF(B19=4,E36,IF(B19=5,E37,IF(B19=6,E38,IF(B19=7,E39,IF(B19=8,E40,E41))))))))</f>
      </c>
      <c r="F19" s="145"/>
      <c r="G19" s="141"/>
      <c r="H19" s="146"/>
      <c r="I19" s="141"/>
      <c r="J19" s="141"/>
      <c r="K19" s="161">
        <f>TRUNC(K20/10)</f>
        <v>0</v>
      </c>
      <c r="L19" s="147">
        <f>TRUNC(RIGHT(K19))</f>
        <v>0</v>
      </c>
      <c r="M19" s="145">
        <f>IF(L19=1,"",L19)</f>
        <v>0</v>
      </c>
      <c r="N19" s="145"/>
      <c r="O19" s="153">
        <f>IF(OR(M19=0,L19=1),"",IF(L19=2,O34,IF(L19=3,O35,IF(L19=4,O36,IF(L19=5,O37,IF(L19=6,O38,IF(L19=7,O39,IF(L19=8,O40,O41))))))))</f>
      </c>
      <c r="P19" s="145"/>
      <c r="Q19" s="141"/>
      <c r="R19" s="146"/>
      <c r="S19" s="141"/>
      <c r="T19" s="141"/>
    </row>
    <row r="20" spans="1:20" ht="12.75">
      <c r="A20" s="161">
        <f>TRUNC(A22/10)</f>
        <v>0</v>
      </c>
      <c r="B20" s="147">
        <f>TRUNC(RIGHT(A20))</f>
        <v>0</v>
      </c>
      <c r="C20" s="145">
        <f>IF(B19=1,B20+10,IF(B20=0,0,B20))</f>
        <v>0</v>
      </c>
      <c r="D20" s="145">
        <f>IF(AND(C20&gt;9,C20&lt;16),IF(C20=10,D33,IF(C20=11,D34,IF(C20=12,D35,IF(C20=13,D36,IF(C20=14,D37,IF(C20=15,D38,)))))),"")</f>
      </c>
      <c r="E20" s="153" t="str">
        <f>IF(B20=1,A33,IF(B20=2,A34,IF(B20=3,A35,IF(B20=4,A36,IF(B20=5,A37,IF(B20=6,A38,IF(B20=7,A39,IF(B20=8,A40,A41))))))))</f>
        <v>девять </v>
      </c>
      <c r="F20" s="145">
        <f>IF(AND(C20&gt;15,C20&lt;20),IF(C20=16,D39,IF(C20=17,D40,IF(C20=18,D41,IF(C20=19,D42,)))),"")</f>
      </c>
      <c r="G20" s="145"/>
      <c r="H20" s="145"/>
      <c r="I20" s="145"/>
      <c r="J20" s="145"/>
      <c r="K20" s="161">
        <f>TRUNC(K22/10)</f>
        <v>0</v>
      </c>
      <c r="L20" s="147">
        <f>TRUNC(RIGHT(K20))</f>
        <v>0</v>
      </c>
      <c r="M20" s="145">
        <f>IF(L19=1,L20+10,IF(L20=0,0,L20))</f>
        <v>0</v>
      </c>
      <c r="N20" s="145">
        <f>IF(AND(M20&gt;9,M20&lt;16),IF(M20=10,N33,IF(M20=11,N34,IF(M20=12,N35,IF(M20=13,N36,IF(M20=14,N37,IF(M20=15,N38,)))))),"")</f>
      </c>
      <c r="O20" s="153" t="str">
        <f>IF(L20=1,K33,IF(L20=2,K34,IF(L20=3,K35,IF(L20=4,K36,IF(L20=5,K37,IF(L20=6,K38,IF(L20=7,K39,IF(L20=8,K40,K41))))))))</f>
        <v>девять </v>
      </c>
      <c r="P20" s="145">
        <f>IF(AND(M20&gt;15,M20&lt;20),IF(M20=16,N39,IF(M20=17,N40,IF(M20=18,N41,IF(M20=19,N42,)))),"")</f>
      </c>
      <c r="Q20" s="145"/>
      <c r="R20" s="145"/>
      <c r="S20" s="145"/>
      <c r="T20" s="145"/>
    </row>
    <row r="21" spans="1:20" ht="12.75">
      <c r="A21" s="161"/>
      <c r="B21" s="147"/>
      <c r="C21" s="145"/>
      <c r="D21" s="145"/>
      <c r="E21" s="145">
        <f>B20+B19*10+B18*100</f>
        <v>0</v>
      </c>
      <c r="F21" s="145">
        <f>IF(E21=0,"",IF(B19=1,"миллионов ",IF(B20=1,"миллион ",IF(OR(B20=2,B20=3,B20=4),"миллиона ","миллионов "))))</f>
      </c>
      <c r="G21" s="145"/>
      <c r="H21" s="145"/>
      <c r="I21" s="145"/>
      <c r="J21" s="145"/>
      <c r="K21" s="161"/>
      <c r="L21" s="147"/>
      <c r="M21" s="145"/>
      <c r="N21" s="145"/>
      <c r="O21" s="145">
        <f>L20+L19*10+L18*100</f>
        <v>0</v>
      </c>
      <c r="P21" s="145">
        <f>IF(O21=0,"",IF(L19=1,"миллионов ",IF(L20=1,"миллион ",IF(OR(L20=2,L20=3,L20=4),"миллиона ","миллионов "))))</f>
      </c>
      <c r="Q21" s="145"/>
      <c r="R21" s="145"/>
      <c r="S21" s="145"/>
      <c r="T21" s="145"/>
    </row>
    <row r="22" spans="1:20" ht="12.75">
      <c r="A22" s="161">
        <f>TRUNC(A23/10)</f>
        <v>0</v>
      </c>
      <c r="B22" s="147">
        <f>TRUNC(RIGHT(A22))</f>
        <v>0</v>
      </c>
      <c r="C22" s="145">
        <f>B22</f>
        <v>0</v>
      </c>
      <c r="D22" s="145"/>
      <c r="E22" s="162" t="str">
        <f>IF(B22=1,E42,IF(B22=2,G34,IF(B22=3,G35,IF(B22=4,G36,IF(B22=5,G37,IF(B22=6,G38,IF(B22=7,G39,IF(B22=8,G40,G41))))))))</f>
        <v>девятьсот </v>
      </c>
      <c r="F22" s="145"/>
      <c r="G22" s="145"/>
      <c r="H22" s="145"/>
      <c r="I22" s="154"/>
      <c r="J22" s="145"/>
      <c r="K22" s="161">
        <f>TRUNC(K23/10)</f>
        <v>2</v>
      </c>
      <c r="L22" s="147">
        <f>TRUNC(RIGHT(K22))</f>
        <v>2</v>
      </c>
      <c r="M22" s="145">
        <f>L22</f>
        <v>2</v>
      </c>
      <c r="N22" s="145"/>
      <c r="O22" s="162" t="str">
        <f>IF(L22=1,O42,IF(L22=2,Q34,IF(L22=3,Q35,IF(L22=4,Q36,IF(L22=5,Q37,IF(L22=6,Q38,IF(L22=7,Q39,IF(L22=8,Q40,Q41))))))))</f>
        <v>двести </v>
      </c>
      <c r="P22" s="145"/>
      <c r="Q22" s="145"/>
      <c r="R22" s="145"/>
      <c r="S22" s="154"/>
      <c r="T22" s="145"/>
    </row>
    <row r="23" spans="1:20" ht="12.75">
      <c r="A23" s="161">
        <f>TRUNC(A24/10)</f>
        <v>3</v>
      </c>
      <c r="B23" s="147">
        <f>TRUNC(RIGHT(A23))</f>
        <v>3</v>
      </c>
      <c r="C23" s="145">
        <f>IF(B23=1,"",B23)</f>
        <v>3</v>
      </c>
      <c r="D23" s="145"/>
      <c r="E23" s="153" t="str">
        <f>IF(OR(C23=0,B23=1),"",IF(B23=2,E34,IF(B23=3,E35,IF(B23=4,E36,IF(B23=5,E37,IF(B23=6,E38,IF(B23=7,E39,IF(B23=8,E40,E41))))))))</f>
        <v>тридцать </v>
      </c>
      <c r="F23" s="145"/>
      <c r="G23" s="145"/>
      <c r="H23" s="145"/>
      <c r="I23" s="145"/>
      <c r="J23" s="145"/>
      <c r="K23" s="161">
        <f>TRUNC(K24/10)</f>
        <v>23</v>
      </c>
      <c r="L23" s="147">
        <f>TRUNC(RIGHT(K23))</f>
        <v>3</v>
      </c>
      <c r="M23" s="145">
        <f>IF(L23=1,"",L23)</f>
        <v>3</v>
      </c>
      <c r="N23" s="145"/>
      <c r="O23" s="153" t="str">
        <f>IF(OR(M23=0,L23=1),"",IF(L23=2,O34,IF(L23=3,O35,IF(L23=4,O36,IF(L23=5,O37,IF(L23=6,O38,IF(L23=7,O39,IF(L23=8,O40,O41))))))))</f>
        <v>тридцать </v>
      </c>
      <c r="P23" s="145"/>
      <c r="Q23" s="145"/>
      <c r="R23" s="145"/>
      <c r="S23" s="145"/>
      <c r="T23" s="145"/>
    </row>
    <row r="24" spans="1:20" ht="12.75">
      <c r="A24" s="161">
        <f>TRUNC(A26/10)</f>
        <v>38</v>
      </c>
      <c r="B24" s="147">
        <f>TRUNC(RIGHT(A24))</f>
        <v>8</v>
      </c>
      <c r="C24" s="145">
        <f>IF(B23=1,B24+10,IF(B24=0,0,B24))</f>
        <v>8</v>
      </c>
      <c r="D24" s="145">
        <f>IF(AND(C24&gt;9,C24&lt;16),IF(C24=10,D33,IF(C24=11,D34,IF(C24=12,D35,IF(C24=13,D36,IF(C24=14,D37,IF(C24=15,D38,)))))),"")</f>
      </c>
      <c r="E24" s="153" t="str">
        <f>IF(B24=1,B33,IF(B24=2,B34,IF(B24=3,A35,IF(B24=4,A36,IF(B24=5,A37,IF(B24=6,A38,IF(B24=7,A39,IF(B24=8,A40,A41))))))))</f>
        <v>восемь </v>
      </c>
      <c r="F24" s="145">
        <f>IF(AND(C24&gt;15,C24&lt;20),IF(C24=16,D39,IF(C24=17,D40,IF(C24=18,D41,IF(C24=19,D42,)))),"")</f>
      </c>
      <c r="G24" s="145"/>
      <c r="H24" s="145"/>
      <c r="I24" s="145"/>
      <c r="J24" s="145"/>
      <c r="K24" s="161">
        <f>TRUNC(K26/10)</f>
        <v>232</v>
      </c>
      <c r="L24" s="147">
        <f>TRUNC(RIGHT(K24))</f>
        <v>2</v>
      </c>
      <c r="M24" s="145">
        <f>IF(L23=1,L24+10,IF(L24=0,0,L24))</f>
        <v>2</v>
      </c>
      <c r="N24" s="145">
        <f>IF(AND(M24&gt;9,M24&lt;16),IF(M24=10,N33,IF(M24=11,N34,IF(M24=12,N35,IF(M24=13,N36,IF(M24=14,N37,IF(M24=15,N38,)))))),"")</f>
      </c>
      <c r="O24" s="153" t="str">
        <f>IF(L24=1,L33,IF(L24=2,L34,IF(L24=3,K35,IF(L24=4,K36,IF(L24=5,K37,IF(L24=6,K38,IF(L24=7,K39,IF(L24=8,K40,K41))))))))</f>
        <v>две </v>
      </c>
      <c r="P24" s="145">
        <f>IF(AND(M24&gt;15,M24&lt;20),IF(M24=16,N39,IF(M24=17,N40,IF(M24=18,N41,IF(M24=19,N42,)))),"")</f>
      </c>
      <c r="Q24" s="145"/>
      <c r="R24" s="145"/>
      <c r="S24" s="145"/>
      <c r="T24" s="145"/>
    </row>
    <row r="25" spans="1:20" ht="12.75">
      <c r="A25" s="161"/>
      <c r="B25" s="147"/>
      <c r="C25" s="145"/>
      <c r="D25" s="145"/>
      <c r="E25" s="153">
        <f>B22*100+B23*10+B24</f>
        <v>38</v>
      </c>
      <c r="F25" s="145" t="str">
        <f>IF(E25=0,"",IF(B23=1,"тысяч ",IF(B24=1,"тысяча ",IF(OR(B24=2,B24=3,B24=4),"тысячи ","тысяч "))))</f>
        <v>тысяч </v>
      </c>
      <c r="G25" s="145"/>
      <c r="H25" s="145"/>
      <c r="I25" s="145"/>
      <c r="J25" s="145"/>
      <c r="K25" s="161"/>
      <c r="L25" s="147"/>
      <c r="M25" s="145"/>
      <c r="N25" s="145"/>
      <c r="O25" s="153">
        <f>L22*100+L23*10+L24</f>
        <v>232</v>
      </c>
      <c r="P25" s="145" t="str">
        <f>IF(O25=0,"",IF(L23=1,"тысяч ",IF(L24=1,"тысяча ",IF(OR(L24=2,L24=3,L24=4),"тысячи ","тысяч "))))</f>
        <v>тысячи </v>
      </c>
      <c r="Q25" s="145"/>
      <c r="R25" s="145"/>
      <c r="S25" s="145"/>
      <c r="T25" s="145"/>
    </row>
    <row r="26" spans="1:20" ht="12.75">
      <c r="A26" s="161">
        <f>TRUNC(A27/10)</f>
        <v>386</v>
      </c>
      <c r="B26" s="147">
        <f>TRUNC(RIGHT(A26))</f>
        <v>6</v>
      </c>
      <c r="C26" s="145">
        <f>B26</f>
        <v>6</v>
      </c>
      <c r="D26" s="145"/>
      <c r="E26" s="162" t="str">
        <f>IF(B26=1,E42,IF(B26=2,G34,IF(B26=3,G35,IF(B26=4,G36,IF(B26=5,G37,IF(B26=6,G38,IF(B26=7,G39,IF(B26=8,G40,G41))))))))</f>
        <v>шестьсот </v>
      </c>
      <c r="F26" s="145"/>
      <c r="G26" s="145"/>
      <c r="H26" s="145"/>
      <c r="I26" s="145"/>
      <c r="J26" s="145"/>
      <c r="K26" s="161">
        <f>TRUNC(K27/10)</f>
        <v>2321</v>
      </c>
      <c r="L26" s="147">
        <f>TRUNC(RIGHT(K26))</f>
        <v>1</v>
      </c>
      <c r="M26" s="145">
        <f>L26</f>
        <v>1</v>
      </c>
      <c r="N26" s="145"/>
      <c r="O26" s="162" t="str">
        <f>IF(L26=1,O42,IF(L26=2,Q34,IF(L26=3,Q35,IF(L26=4,Q36,IF(L26=5,Q37,IF(L26=6,Q38,IF(L26=7,Q39,IF(L26=8,Q40,Q41))))))))</f>
        <v>сто </v>
      </c>
      <c r="P26" s="145"/>
      <c r="Q26" s="145"/>
      <c r="R26" s="145"/>
      <c r="S26" s="145"/>
      <c r="T26" s="145"/>
    </row>
    <row r="27" spans="1:20" ht="12.75">
      <c r="A27" s="161">
        <f>TRUNC(A28/10)</f>
        <v>3869</v>
      </c>
      <c r="B27" s="155">
        <f>TRUNC(RIGHT(A27))</f>
        <v>9</v>
      </c>
      <c r="C27" s="145">
        <f>IF(B27=1,"",B27)</f>
        <v>9</v>
      </c>
      <c r="D27" s="145"/>
      <c r="E27" s="153" t="str">
        <f>IF(OR(C27=0,B27=1),"",IF(C27=2,E34,IF(C27=3,E35,IF(C27=4,E36,IF(C27=5,E37,IF(C27=6,E38,IF(C27=7,E39,IF(C27=8,E40,E41))))))))</f>
        <v>девяносто </v>
      </c>
      <c r="F27" s="145"/>
      <c r="G27" s="147"/>
      <c r="H27" s="145"/>
      <c r="I27" s="145"/>
      <c r="J27" s="145"/>
      <c r="K27" s="161">
        <f>TRUNC(K28/10)</f>
        <v>23217</v>
      </c>
      <c r="L27" s="155">
        <f>TRUNC(RIGHT(K27))</f>
        <v>7</v>
      </c>
      <c r="M27" s="145">
        <f>IF(L27=1,"",L27)</f>
        <v>7</v>
      </c>
      <c r="N27" s="145"/>
      <c r="O27" s="153" t="str">
        <f>IF(OR(M27=0,L27=1),"",IF(M27=2,O34,IF(M27=3,O35,IF(M27=4,O36,IF(M27=5,O37,IF(M27=6,O38,IF(M27=7,O39,IF(M27=8,O40,O41))))))))</f>
        <v>семьдесят </v>
      </c>
      <c r="P27" s="145"/>
      <c r="Q27" s="147"/>
      <c r="R27" s="145"/>
      <c r="S27" s="145"/>
      <c r="T27" s="145"/>
    </row>
    <row r="28" spans="1:20" ht="12.75">
      <c r="A28" s="161">
        <f>E12</f>
        <v>38695</v>
      </c>
      <c r="B28" s="147">
        <f>TRUNC(RIGHT(A28))</f>
        <v>5</v>
      </c>
      <c r="C28" s="145">
        <f>IF(B27=1,B28+10,IF(B28=0,0,B28))</f>
        <v>5</v>
      </c>
      <c r="D28" s="145">
        <f>IF(AND(C28&gt;9,C28&lt;16),IF(C28=10,D33,IF(C28=11,D34,IF(C28=12,D35,IF(C28=13,D36,IF(C28=14,D37,IF(C28=15,D38,)))))),"")</f>
      </c>
      <c r="E28" s="153" t="str">
        <f>IF(B28=1,A33,IF(B28=2,A34,IF(B28=3,A35,IF(B28=4,A36,IF(B28=5,A37,IF(B28=6,A38,IF(B28=7,A39,IF(B28=8,A40,A41))))))))</f>
        <v>пять </v>
      </c>
      <c r="F28" s="145">
        <f>IF(AND(C28&gt;15,C28&lt;20),IF(C28=16,D39,IF(C28=17,D40,IF(C28=18,D41,IF(C28=19,D42,)))),"")</f>
      </c>
      <c r="G28" s="147"/>
      <c r="H28" s="145"/>
      <c r="I28" s="145"/>
      <c r="J28" s="145"/>
      <c r="K28" s="161">
        <f>O12</f>
        <v>232172</v>
      </c>
      <c r="L28" s="147">
        <f>TRUNC(RIGHT(K28))</f>
        <v>2</v>
      </c>
      <c r="M28" s="145">
        <f>IF(L27=1,L28+10,IF(L28=0,0,L28))</f>
        <v>2</v>
      </c>
      <c r="N28" s="145">
        <f>IF(AND(M28&gt;9,M28&lt;16),IF(M28=10,N33,IF(M28=11,N34,IF(M28=12,N35,IF(M28=13,N36,IF(M28=14,N37,IF(M28=15,N38,)))))),"")</f>
      </c>
      <c r="O28" s="153" t="str">
        <f>IF(L28=1,K33,IF(L28=2,K34,IF(L28=3,K35,IF(L28=4,K36,IF(L28=5,K37,IF(L28=6,K38,IF(L28=7,K39,IF(L28=8,K40,K41))))))))</f>
        <v>два </v>
      </c>
      <c r="P28" s="145">
        <f>IF(AND(M28&gt;15,M28&lt;20),IF(M28=16,N39,IF(M28=17,N40,IF(M28=18,N41,IF(M28=19,N42,)))),"")</f>
      </c>
      <c r="Q28" s="147"/>
      <c r="R28" s="145"/>
      <c r="S28" s="145"/>
      <c r="T28" s="145"/>
    </row>
    <row r="29" spans="1:20" ht="12.75">
      <c r="A29" s="160"/>
      <c r="B29" s="155"/>
      <c r="C29" s="147"/>
      <c r="D29" s="145"/>
      <c r="E29" s="153">
        <f>B26*100+B27*10+B28</f>
        <v>695</v>
      </c>
      <c r="F29" s="145">
        <f>IF(E29+E25+E21+E17=0,"ноль",IF(C28=1,"",IF(OR(C28=2,C28=3,C28=4),"","")))</f>
      </c>
      <c r="G29" s="147"/>
      <c r="H29" s="145"/>
      <c r="I29" s="145"/>
      <c r="J29" s="145"/>
      <c r="K29" s="160"/>
      <c r="L29" s="155"/>
      <c r="M29" s="147"/>
      <c r="N29" s="145"/>
      <c r="O29" s="153">
        <f>L26*100+L27*10+L28</f>
        <v>172</v>
      </c>
      <c r="P29" s="145">
        <f>IF(O29+O25+O21+O17=0,"ноль",IF(M28=1,"",IF(OR(M28=2,M28=3,M28=4),"","")))</f>
      </c>
      <c r="Q29" s="147"/>
      <c r="R29" s="145"/>
      <c r="S29" s="145"/>
      <c r="T29" s="145"/>
    </row>
    <row r="30" spans="1:20" ht="12.75">
      <c r="A30" s="161">
        <f>TRUNC(A31/10)</f>
        <v>0</v>
      </c>
      <c r="B30" s="155">
        <f>TRUNC(RIGHT(A30))</f>
        <v>0</v>
      </c>
      <c r="C30" s="145">
        <f>IF(B30=1,"",B30)</f>
        <v>0</v>
      </c>
      <c r="D30" s="145"/>
      <c r="E30" s="153">
        <f>IF(OR(C30=1,C30=0),"",IF(C30=2,E34,IF(C30=3,E35,IF(C30=4,E36,IF(C30=5,E37,IF(C30=6,E38,IF(C30=7,E39,IF(C30=8,E40,E41))))))))</f>
      </c>
      <c r="F30" s="145"/>
      <c r="G30" s="145"/>
      <c r="H30" s="147"/>
      <c r="I30" s="145"/>
      <c r="J30" s="145"/>
      <c r="K30" s="161">
        <f>TRUNC(K31/10)</f>
        <v>0</v>
      </c>
      <c r="L30" s="155">
        <f>TRUNC(RIGHT(K30))</f>
        <v>0</v>
      </c>
      <c r="M30" s="145">
        <f>IF(L30=1,"",L30)</f>
        <v>0</v>
      </c>
      <c r="N30" s="145"/>
      <c r="O30" s="153">
        <f>IF(OR(M30=1,M30=0),"",IF(M30=2,O34,IF(M30=3,O35,IF(M30=4,O36,IF(M30=5,O37,IF(M30=6,O38,IF(M30=7,O39,IF(M30=8,O40,O41))))))))</f>
      </c>
      <c r="P30" s="145"/>
      <c r="Q30" s="145"/>
      <c r="R30" s="147"/>
      <c r="S30" s="145"/>
      <c r="T30" s="145"/>
    </row>
    <row r="31" spans="1:20" ht="12.75">
      <c r="A31" s="161">
        <f>ROUND(E1,2)*100-ROUND(E12,2)*100</f>
        <v>0</v>
      </c>
      <c r="B31" s="147">
        <f>TRUNC(RIGHT(A31))</f>
        <v>0</v>
      </c>
      <c r="C31" s="145">
        <f>IF(B30=1,B31+10,IF(B31=0,0,B31))</f>
        <v>0</v>
      </c>
      <c r="D31" s="145">
        <f>IF(AND(C31&gt;9,C31&lt;16),IF(C31=10,D33,IF(C31=11,D34,IF(C31=12,D35,IF(C31=13,D36,IF(C31=14,D37,IF(C31=15,D38,)))))),"")</f>
      </c>
      <c r="E31" s="153" t="str">
        <f>IF(C31=1,B33,IF(C31=2,B34,IF(C31=3,A35,IF(C31=4,A36,IF(C31=5,A37,IF(C31=6,A38,IF(C31=7,A39,IF(C31=8,A40,A41))))))))</f>
        <v>девять </v>
      </c>
      <c r="F31" s="145">
        <f>IF(AND(C31&gt;15,C31&lt;20),IF(C31=16,D39,IF(C31=17,D40,IF(C31=18,D41,IF(C31=19,D42,)))),"")</f>
      </c>
      <c r="G31" s="145"/>
      <c r="H31" s="147"/>
      <c r="I31" s="145"/>
      <c r="J31" s="145"/>
      <c r="K31" s="161">
        <f>ROUND(O1,2)*100-ROUND(O12,2)*100</f>
        <v>0</v>
      </c>
      <c r="L31" s="147">
        <f>TRUNC(RIGHT(K31))</f>
        <v>0</v>
      </c>
      <c r="M31" s="145">
        <f>IF(L30=1,L31+10,IF(L31=0,0,L31))</f>
        <v>0</v>
      </c>
      <c r="N31" s="145">
        <f>IF(AND(M31&gt;9,M31&lt;16),IF(M31=10,N33,IF(M31=11,N34,IF(M31=12,N35,IF(M31=13,N36,IF(M31=14,N37,IF(M31=15,N38,)))))),"")</f>
      </c>
      <c r="O31" s="153" t="str">
        <f>IF(M31=1,L33,IF(M31=2,L34,IF(M31=3,K35,IF(M31=4,K36,IF(M31=5,K37,IF(M31=6,K38,IF(M31=7,K39,IF(M31=8,K40,K41))))))))</f>
        <v>девять </v>
      </c>
      <c r="P31" s="145">
        <f>IF(AND(M31&gt;15,M31&lt;20),IF(M31=16,N39,IF(M31=17,N40,IF(M31=18,N41,IF(M31=19,N42,)))),"")</f>
      </c>
      <c r="Q31" s="145"/>
      <c r="R31" s="147"/>
      <c r="S31" s="145"/>
      <c r="T31" s="145"/>
    </row>
    <row r="32" spans="1:20" ht="12.75">
      <c r="A32" s="145"/>
      <c r="B32" s="145"/>
      <c r="C32" s="145"/>
      <c r="D32" s="145"/>
      <c r="E32" s="153">
        <f>B30*10+B31</f>
        <v>0</v>
      </c>
      <c r="F32" s="145" t="str">
        <f>IF(E32=0," ",IF(C31=1,"копейка ",IF(OR(C31=2,C31=3,C31=4),"копейки ","копеек ")))</f>
        <v> </v>
      </c>
      <c r="G32" s="145"/>
      <c r="H32" s="147"/>
      <c r="I32" s="145"/>
      <c r="J32" s="145"/>
      <c r="K32" s="145"/>
      <c r="L32" s="145"/>
      <c r="M32" s="145"/>
      <c r="N32" s="145"/>
      <c r="O32" s="153">
        <f>L30*10+L31</f>
        <v>0</v>
      </c>
      <c r="P32" s="145" t="str">
        <f>IF(O32=0," ",IF(M31=1,"копейка ",IF(OR(M31=2,M31=3,M31=4),"копейки ","копеек ")))</f>
        <v> </v>
      </c>
      <c r="Q32" s="145"/>
      <c r="R32" s="147"/>
      <c r="S32" s="145"/>
      <c r="T32" s="145"/>
    </row>
    <row r="33" spans="1:20" ht="12.75">
      <c r="A33" s="145" t="s">
        <v>49</v>
      </c>
      <c r="B33" s="145" t="s">
        <v>50</v>
      </c>
      <c r="C33" s="145"/>
      <c r="D33" s="145" t="s">
        <v>51</v>
      </c>
      <c r="E33" s="145"/>
      <c r="F33" s="145"/>
      <c r="G33" s="145"/>
      <c r="H33" s="147"/>
      <c r="I33" s="145"/>
      <c r="J33" s="145"/>
      <c r="K33" s="145" t="s">
        <v>49</v>
      </c>
      <c r="L33" s="145" t="s">
        <v>50</v>
      </c>
      <c r="M33" s="145"/>
      <c r="N33" s="145" t="s">
        <v>51</v>
      </c>
      <c r="O33" s="145"/>
      <c r="P33" s="145"/>
      <c r="Q33" s="145"/>
      <c r="R33" s="147"/>
      <c r="S33" s="145"/>
      <c r="T33" s="145"/>
    </row>
    <row r="34" spans="1:20" ht="12.75">
      <c r="A34" s="145" t="s">
        <v>52</v>
      </c>
      <c r="B34" s="145" t="s">
        <v>53</v>
      </c>
      <c r="C34" s="145"/>
      <c r="D34" s="145" t="s">
        <v>54</v>
      </c>
      <c r="E34" s="145" t="s">
        <v>55</v>
      </c>
      <c r="F34" s="145"/>
      <c r="G34" s="145" t="s">
        <v>56</v>
      </c>
      <c r="H34" s="145"/>
      <c r="I34" s="145"/>
      <c r="J34" s="145"/>
      <c r="K34" s="145" t="s">
        <v>52</v>
      </c>
      <c r="L34" s="145" t="s">
        <v>53</v>
      </c>
      <c r="M34" s="145"/>
      <c r="N34" s="145" t="s">
        <v>54</v>
      </c>
      <c r="O34" s="145" t="s">
        <v>55</v>
      </c>
      <c r="P34" s="145"/>
      <c r="Q34" s="145" t="s">
        <v>56</v>
      </c>
      <c r="R34" s="145"/>
      <c r="S34" s="145"/>
      <c r="T34" s="145"/>
    </row>
    <row r="35" spans="1:20" ht="12.75">
      <c r="A35" s="145" t="s">
        <v>57</v>
      </c>
      <c r="B35" s="145"/>
      <c r="C35" s="145"/>
      <c r="D35" s="145" t="s">
        <v>58</v>
      </c>
      <c r="E35" s="145" t="s">
        <v>59</v>
      </c>
      <c r="F35" s="145"/>
      <c r="G35" s="145" t="s">
        <v>60</v>
      </c>
      <c r="H35" s="145"/>
      <c r="I35" s="145"/>
      <c r="J35" s="145"/>
      <c r="K35" s="145" t="s">
        <v>57</v>
      </c>
      <c r="L35" s="145"/>
      <c r="M35" s="145"/>
      <c r="N35" s="145" t="s">
        <v>58</v>
      </c>
      <c r="O35" s="145" t="s">
        <v>59</v>
      </c>
      <c r="P35" s="145"/>
      <c r="Q35" s="145" t="s">
        <v>60</v>
      </c>
      <c r="R35" s="145"/>
      <c r="S35" s="145"/>
      <c r="T35" s="145"/>
    </row>
    <row r="36" spans="1:20" ht="12.75">
      <c r="A36" s="145" t="s">
        <v>61</v>
      </c>
      <c r="B36" s="145"/>
      <c r="C36" s="145"/>
      <c r="D36" s="145" t="s">
        <v>62</v>
      </c>
      <c r="E36" s="145" t="s">
        <v>63</v>
      </c>
      <c r="F36" s="145"/>
      <c r="G36" s="145" t="s">
        <v>64</v>
      </c>
      <c r="H36" s="145"/>
      <c r="I36" s="145"/>
      <c r="J36" s="145"/>
      <c r="K36" s="145" t="s">
        <v>61</v>
      </c>
      <c r="L36" s="145"/>
      <c r="M36" s="145"/>
      <c r="N36" s="145" t="s">
        <v>62</v>
      </c>
      <c r="O36" s="145" t="s">
        <v>63</v>
      </c>
      <c r="P36" s="145"/>
      <c r="Q36" s="145" t="s">
        <v>64</v>
      </c>
      <c r="R36" s="145"/>
      <c r="S36" s="145"/>
      <c r="T36" s="145"/>
    </row>
    <row r="37" spans="1:20" ht="12.75">
      <c r="A37" s="145" t="s">
        <v>65</v>
      </c>
      <c r="B37" s="145"/>
      <c r="C37" s="145"/>
      <c r="D37" s="145" t="s">
        <v>66</v>
      </c>
      <c r="E37" s="145" t="s">
        <v>67</v>
      </c>
      <c r="F37" s="145"/>
      <c r="G37" s="145" t="s">
        <v>68</v>
      </c>
      <c r="H37" s="145"/>
      <c r="I37" s="145"/>
      <c r="J37" s="145"/>
      <c r="K37" s="145" t="s">
        <v>65</v>
      </c>
      <c r="L37" s="145"/>
      <c r="M37" s="145"/>
      <c r="N37" s="145" t="s">
        <v>66</v>
      </c>
      <c r="O37" s="145" t="s">
        <v>67</v>
      </c>
      <c r="P37" s="145"/>
      <c r="Q37" s="145" t="s">
        <v>68</v>
      </c>
      <c r="R37" s="145"/>
      <c r="S37" s="145"/>
      <c r="T37" s="145"/>
    </row>
    <row r="38" spans="1:20" ht="12.75">
      <c r="A38" s="145" t="s">
        <v>69</v>
      </c>
      <c r="B38" s="145"/>
      <c r="C38" s="145"/>
      <c r="D38" s="145" t="s">
        <v>70</v>
      </c>
      <c r="E38" s="145" t="s">
        <v>71</v>
      </c>
      <c r="F38" s="145"/>
      <c r="G38" s="145" t="s">
        <v>72</v>
      </c>
      <c r="H38" s="145"/>
      <c r="I38" s="145"/>
      <c r="J38" s="145"/>
      <c r="K38" s="145" t="s">
        <v>69</v>
      </c>
      <c r="L38" s="145"/>
      <c r="M38" s="145"/>
      <c r="N38" s="145" t="s">
        <v>70</v>
      </c>
      <c r="O38" s="145" t="s">
        <v>71</v>
      </c>
      <c r="P38" s="145"/>
      <c r="Q38" s="145" t="s">
        <v>72</v>
      </c>
      <c r="R38" s="145"/>
      <c r="S38" s="145"/>
      <c r="T38" s="145"/>
    </row>
    <row r="39" spans="1:20" ht="12.75">
      <c r="A39" s="145" t="s">
        <v>73</v>
      </c>
      <c r="B39" s="145"/>
      <c r="C39" s="145"/>
      <c r="D39" s="145" t="s">
        <v>74</v>
      </c>
      <c r="E39" s="145" t="s">
        <v>75</v>
      </c>
      <c r="F39" s="145"/>
      <c r="G39" s="145" t="s">
        <v>76</v>
      </c>
      <c r="H39" s="145"/>
      <c r="I39" s="145"/>
      <c r="J39" s="145"/>
      <c r="K39" s="145" t="s">
        <v>73</v>
      </c>
      <c r="L39" s="145"/>
      <c r="M39" s="145"/>
      <c r="N39" s="145" t="s">
        <v>74</v>
      </c>
      <c r="O39" s="145" t="s">
        <v>75</v>
      </c>
      <c r="P39" s="145"/>
      <c r="Q39" s="145" t="s">
        <v>76</v>
      </c>
      <c r="R39" s="145"/>
      <c r="S39" s="145"/>
      <c r="T39" s="145"/>
    </row>
    <row r="40" spans="1:20" ht="12.75">
      <c r="A40" s="145" t="s">
        <v>77</v>
      </c>
      <c r="B40" s="145"/>
      <c r="C40" s="145"/>
      <c r="D40" s="145" t="s">
        <v>78</v>
      </c>
      <c r="E40" s="145" t="s">
        <v>79</v>
      </c>
      <c r="F40" s="145"/>
      <c r="G40" s="145" t="s">
        <v>80</v>
      </c>
      <c r="H40" s="145"/>
      <c r="I40" s="145"/>
      <c r="J40" s="145"/>
      <c r="K40" s="145" t="s">
        <v>77</v>
      </c>
      <c r="L40" s="145"/>
      <c r="M40" s="145"/>
      <c r="N40" s="145" t="s">
        <v>78</v>
      </c>
      <c r="O40" s="145" t="s">
        <v>79</v>
      </c>
      <c r="P40" s="145"/>
      <c r="Q40" s="145" t="s">
        <v>80</v>
      </c>
      <c r="R40" s="145"/>
      <c r="S40" s="145"/>
      <c r="T40" s="145"/>
    </row>
    <row r="41" spans="1:20" ht="12.75">
      <c r="A41" s="145" t="s">
        <v>81</v>
      </c>
      <c r="B41" s="145"/>
      <c r="C41" s="145"/>
      <c r="D41" s="145" t="s">
        <v>82</v>
      </c>
      <c r="E41" s="145" t="s">
        <v>83</v>
      </c>
      <c r="F41" s="145"/>
      <c r="G41" s="145" t="s">
        <v>84</v>
      </c>
      <c r="H41" s="145"/>
      <c r="I41" s="145"/>
      <c r="J41" s="145"/>
      <c r="K41" s="145" t="s">
        <v>81</v>
      </c>
      <c r="L41" s="145"/>
      <c r="M41" s="145"/>
      <c r="N41" s="145" t="s">
        <v>82</v>
      </c>
      <c r="O41" s="145" t="s">
        <v>83</v>
      </c>
      <c r="P41" s="145"/>
      <c r="Q41" s="145" t="s">
        <v>84</v>
      </c>
      <c r="R41" s="145"/>
      <c r="S41" s="145"/>
      <c r="T41" s="145"/>
    </row>
    <row r="42" spans="1:20" ht="12.75">
      <c r="A42" s="145"/>
      <c r="B42" s="145"/>
      <c r="C42" s="145"/>
      <c r="D42" s="145" t="s">
        <v>85</v>
      </c>
      <c r="E42" s="145" t="s">
        <v>86</v>
      </c>
      <c r="F42" s="145"/>
      <c r="G42" s="145"/>
      <c r="H42" s="147"/>
      <c r="I42" s="145"/>
      <c r="J42" s="145"/>
      <c r="K42" s="145"/>
      <c r="L42" s="145"/>
      <c r="M42" s="145"/>
      <c r="N42" s="145" t="s">
        <v>85</v>
      </c>
      <c r="O42" s="145" t="s">
        <v>86</v>
      </c>
      <c r="P42" s="145"/>
      <c r="Q42" s="145"/>
      <c r="R42" s="147"/>
      <c r="S42" s="145"/>
      <c r="T42" s="145"/>
    </row>
  </sheetData>
  <sheetProtection/>
  <mergeCells count="2">
    <mergeCell ref="H6:J10"/>
    <mergeCell ref="R6:T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2018-05-29T08:23:12Z</cp:lastPrinted>
  <dcterms:created xsi:type="dcterms:W3CDTF">2003-10-18T11:05:50Z</dcterms:created>
  <dcterms:modified xsi:type="dcterms:W3CDTF">2021-03-17T08:43:50Z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