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55" windowWidth="12120" windowHeight="9150" activeTab="0"/>
  </bookViews>
  <sheets>
    <sheet name="Платежное поручение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'Платежное поручение'!$B$172</definedName>
    <definedName name="_xlnm.Print_Area" localSheetId="0">'Платежное поручение'!$C$3:$BH$104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AU16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</text>
    </comment>
    <comment ref="DM6" authorId="1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</commentList>
</comments>
</file>

<file path=xl/sharedStrings.xml><?xml version="1.0" encoding="utf-8"?>
<sst xmlns="http://schemas.openxmlformats.org/spreadsheetml/2006/main" count="124" uniqueCount="112">
  <si>
    <t>Дата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</si>
  <si>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</si>
  <si>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</si>
  <si>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</si>
  <si>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</si>
  <si>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</si>
  <si>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</si>
  <si>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</si>
  <si>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</si>
  <si>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</si>
  <si>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</si>
  <si>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</si>
  <si>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Очередь</t>
  </si>
  <si>
    <t>Расходы по переводу</t>
  </si>
  <si>
    <t>ПЛ</t>
  </si>
  <si>
    <t>ПЛ/БН</t>
  </si>
  <si>
    <t>БН</t>
  </si>
  <si>
    <t>Заполняется банком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</si>
  <si>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</si>
  <si>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</si>
  <si>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</si>
  <si>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</si>
  <si>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</si>
  <si>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Подписи плательщика</t>
  </si>
  <si>
    <t>М.П.</t>
  </si>
  <si>
    <t>Дата исполнения банком</t>
  </si>
  <si>
    <t>Штамп банка</t>
  </si>
  <si>
    <t>ПЛАТЕЖНОЕ ПОРУЧЕНИЕ №</t>
  </si>
  <si>
    <t>Срочный</t>
  </si>
  <si>
    <t>Несрочный</t>
  </si>
  <si>
    <t>УНП третьего лица</t>
  </si>
  <si>
    <t>Код платежа</t>
  </si>
  <si>
    <t>Корреспондент банка-получателя:</t>
  </si>
  <si>
    <t>Комиссию списать со счета №</t>
  </si>
  <si>
    <t>Сумма к перечислению/списанию:</t>
  </si>
  <si>
    <t>Корреспондент банка-отправителя:</t>
  </si>
  <si>
    <t>Дата валютирования</t>
  </si>
  <si>
    <t>Подпись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</si>
  <si>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</si>
  <si>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</si>
  <si>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</si>
  <si>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</si>
  <si>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</si>
  <si>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</si>
  <si>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</si>
  <si>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</si>
  <si>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</si>
  <si>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</si>
  <si>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</si>
  <si>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</si>
  <si>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</si>
  <si>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</si>
  <si>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</si>
  <si>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</si>
  <si>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</si>
  <si>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</si>
  <si>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</si>
  <si>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</si>
  <si>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</si>
  <si>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</si>
  <si>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</si>
  <si>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</si>
  <si>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</si>
  <si>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</si>
  <si>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</si>
  <si>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</si>
  <si>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</si>
  <si>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</si>
  <si>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</si>
  <si>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</si>
  <si>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</si>
  <si>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</si>
  <si>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</si>
  <si>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</si>
  <si>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</si>
  <si>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</si>
  <si>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</si>
  <si>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</si>
  <si>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</si>
  <si>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</si>
  <si>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</si>
  <si>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</si>
  <si>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Дата поступления</t>
  </si>
  <si>
    <t>Регистрационный номер сделки</t>
  </si>
  <si>
    <t>исполнителя</t>
  </si>
  <si>
    <t>Подпись ответственного</t>
  </si>
  <si>
    <t>ноль для копеек</t>
  </si>
  <si>
    <t xml:space="preserve"> копейка</t>
  </si>
  <si>
    <t xml:space="preserve"> цент</t>
  </si>
  <si>
    <t xml:space="preserve"> евроцент</t>
  </si>
  <si>
    <t xml:space="preserve"> копейки</t>
  </si>
  <si>
    <t xml:space="preserve"> цента</t>
  </si>
  <si>
    <t xml:space="preserve"> евроцента</t>
  </si>
  <si>
    <t xml:space="preserve"> копеек</t>
  </si>
  <si>
    <t xml:space="preserve"> центов</t>
  </si>
  <si>
    <t xml:space="preserve"> евроцентов</t>
  </si>
  <si>
    <t>BYN</t>
  </si>
  <si>
    <t>RUB</t>
  </si>
  <si>
    <t>USD</t>
  </si>
  <si>
    <t>EUR</t>
  </si>
  <si>
    <t xml:space="preserve"> белорусских рублей, </t>
  </si>
  <si>
    <t xml:space="preserve"> российских рублей, </t>
  </si>
  <si>
    <t xml:space="preserve"> белорусский рубль, </t>
  </si>
  <si>
    <t xml:space="preserve"> белорусских рубля, </t>
  </si>
  <si>
    <t xml:space="preserve"> российский рубль, </t>
  </si>
  <si>
    <t xml:space="preserve"> российских рубля, </t>
  </si>
  <si>
    <t xml:space="preserve"> доллар, </t>
  </si>
  <si>
    <t xml:space="preserve"> доллара, </t>
  </si>
  <si>
    <t xml:space="preserve"> долларов, </t>
  </si>
  <si>
    <t xml:space="preserve"> евро, </t>
  </si>
  <si>
    <t>Примерная форма</t>
  </si>
  <si>
    <t xml:space="preserve">Детали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</si>
</sst>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8"/>
      <color indexed="9"/>
      <name val="Tahoma"/>
      <family val="2"/>
    </font>
    <font>
      <sz val="10"/>
      <name val="Helv"/>
      <family val="0"/>
    </font>
    <font>
      <sz val="8"/>
      <color indexed="43"/>
      <name val="Tahoma"/>
      <family val="2"/>
    </font>
    <font>
      <sz val="10"/>
      <color indexed="10"/>
      <name val="Arial Cyr"/>
      <family val="0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3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15" fillId="33" borderId="0" xfId="0" applyFont="1" applyFill="1" applyAlignment="1" applyProtection="1">
      <alignment vertical="center"/>
      <protection hidden="1"/>
    </xf>
    <xf numFmtId="0" fontId="4" fillId="36" borderId="23" xfId="0" applyFont="1" applyFill="1" applyBorder="1" applyAlignment="1" applyProtection="1">
      <alignment vertical="center"/>
      <protection hidden="1"/>
    </xf>
    <xf numFmtId="49" fontId="17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7" borderId="0" xfId="53" applyFont="1" applyFill="1" applyAlignment="1">
      <alignment horizontal="left" vertical="center"/>
      <protection/>
    </xf>
    <xf numFmtId="0" fontId="17" fillId="37" borderId="0" xfId="53" applyFont="1" applyFill="1" applyAlignment="1">
      <alignment vertical="center"/>
      <protection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35" borderId="0" xfId="0" applyFont="1" applyFill="1" applyBorder="1" applyAlignment="1" applyProtection="1">
      <alignment/>
      <protection hidden="1"/>
    </xf>
    <xf numFmtId="3" fontId="19" fillId="35" borderId="0" xfId="0" applyNumberFormat="1" applyFont="1" applyFill="1" applyBorder="1" applyAlignment="1" applyProtection="1">
      <alignment/>
      <protection hidden="1"/>
    </xf>
    <xf numFmtId="0" fontId="20" fillId="35" borderId="0" xfId="0" applyFont="1" applyFill="1" applyBorder="1" applyAlignment="1" applyProtection="1">
      <alignment/>
      <protection hidden="1"/>
    </xf>
    <xf numFmtId="4" fontId="20" fillId="35" borderId="0" xfId="0" applyNumberFormat="1" applyFont="1" applyFill="1" applyBorder="1" applyAlignment="1" applyProtection="1">
      <alignment/>
      <protection hidden="1"/>
    </xf>
    <xf numFmtId="2" fontId="20" fillId="35" borderId="0" xfId="0" applyNumberFormat="1" applyFont="1" applyFill="1" applyBorder="1" applyAlignment="1" applyProtection="1">
      <alignment/>
      <protection hidden="1"/>
    </xf>
    <xf numFmtId="3" fontId="20" fillId="35" borderId="0" xfId="0" applyNumberFormat="1" applyFont="1" applyFill="1" applyBorder="1" applyAlignment="1" applyProtection="1">
      <alignment horizontal="right"/>
      <protection hidden="1"/>
    </xf>
    <xf numFmtId="3" fontId="20" fillId="35" borderId="0" xfId="0" applyNumberFormat="1" applyFont="1" applyFill="1" applyBorder="1" applyAlignment="1" applyProtection="1">
      <alignment/>
      <protection hidden="1"/>
    </xf>
    <xf numFmtId="1" fontId="20" fillId="35" borderId="0" xfId="0" applyNumberFormat="1" applyFont="1" applyFill="1" applyBorder="1" applyAlignment="1" applyProtection="1">
      <alignment horizontal="right"/>
      <protection hidden="1"/>
    </xf>
    <xf numFmtId="0" fontId="20" fillId="35" borderId="0" xfId="0" applyFont="1" applyFill="1" applyBorder="1" applyAlignment="1" applyProtection="1">
      <alignment horizontal="right"/>
      <protection hidden="1"/>
    </xf>
    <xf numFmtId="0" fontId="21" fillId="35" borderId="0" xfId="53" applyFont="1" applyFill="1" applyBorder="1" applyAlignment="1" applyProtection="1">
      <alignment horizontal="right" vertical="top"/>
      <protection hidden="1"/>
    </xf>
    <xf numFmtId="0" fontId="21" fillId="35" borderId="0" xfId="53" applyFont="1" applyFill="1" applyBorder="1" applyAlignment="1" applyProtection="1">
      <alignment vertical="top"/>
      <protection hidden="1"/>
    </xf>
    <xf numFmtId="0" fontId="21" fillId="35" borderId="0" xfId="53" applyFont="1" applyFill="1" applyBorder="1" applyAlignment="1" applyProtection="1">
      <alignment horizontal="right" vertical="center"/>
      <protection hidden="1"/>
    </xf>
    <xf numFmtId="0" fontId="21" fillId="35" borderId="0" xfId="53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top" wrapText="1"/>
      <protection locked="0"/>
    </xf>
    <xf numFmtId="49" fontId="4" fillId="33" borderId="17" xfId="0" applyNumberFormat="1" applyFont="1" applyFill="1" applyBorder="1" applyAlignment="1" applyProtection="1">
      <alignment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26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0" xfId="0" applyNumberFormat="1" applyFont="1" applyFill="1" applyBorder="1" applyAlignment="1" applyProtection="1">
      <alignment horizontal="left" vertical="top"/>
      <protection/>
    </xf>
    <xf numFmtId="49" fontId="3" fillId="33" borderId="18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17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25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0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5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4" fillId="33" borderId="0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locked="0"/>
    </xf>
    <xf numFmtId="49" fontId="4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2" fontId="3" fillId="33" borderId="24" xfId="0" applyNumberFormat="1" applyFont="1" applyFill="1" applyBorder="1" applyAlignment="1" applyProtection="1">
      <alignment horizontal="left" vertical="center"/>
      <protection locked="0"/>
    </xf>
    <xf numFmtId="2" fontId="3" fillId="33" borderId="20" xfId="0" applyNumberFormat="1" applyFont="1" applyFill="1" applyBorder="1" applyAlignment="1" applyProtection="1">
      <alignment horizontal="left" vertical="center"/>
      <protection locked="0"/>
    </xf>
    <xf numFmtId="2" fontId="3" fillId="33" borderId="25" xfId="0" applyNumberFormat="1" applyFont="1" applyFill="1" applyBorder="1" applyAlignment="1" applyProtection="1">
      <alignment horizontal="left" vertical="center"/>
      <protection locked="0"/>
    </xf>
    <xf numFmtId="2" fontId="3" fillId="33" borderId="18" xfId="0" applyNumberFormat="1" applyFont="1" applyFill="1" applyBorder="1" applyAlignment="1" applyProtection="1">
      <alignment horizontal="left" vertical="center"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3" fillId="33" borderId="16" xfId="0" applyNumberFormat="1" applyFont="1" applyFill="1" applyBorder="1" applyAlignment="1" applyProtection="1">
      <alignment horizontal="left" vertical="center"/>
      <protection locked="0"/>
    </xf>
    <xf numFmtId="2" fontId="3" fillId="33" borderId="19" xfId="0" applyNumberFormat="1" applyFont="1" applyFill="1" applyBorder="1" applyAlignment="1" applyProtection="1">
      <alignment horizontal="left" vertical="center"/>
      <protection locked="0"/>
    </xf>
    <xf numFmtId="2" fontId="3" fillId="33" borderId="17" xfId="0" applyNumberFormat="1" applyFont="1" applyFill="1" applyBorder="1" applyAlignment="1" applyProtection="1">
      <alignment horizontal="left" vertical="center"/>
      <protection locked="0"/>
    </xf>
    <xf numFmtId="2" fontId="3" fillId="33" borderId="26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top" wrapText="1"/>
      <protection/>
    </xf>
    <xf numFmtId="0" fontId="3" fillId="33" borderId="25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NumberFormat="1" applyFont="1" applyFill="1" applyBorder="1" applyAlignment="1" applyProtection="1">
      <alignment horizontal="left" vertical="top" wrapText="1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22" fillId="34" borderId="21" xfId="0" applyFont="1" applyFill="1" applyBorder="1" applyAlignment="1" applyProtection="1">
      <alignment horizontal="center" vertical="center"/>
      <protection hidden="1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4" xfId="0" applyNumberFormat="1" applyFont="1" applyFill="1" applyBorder="1" applyAlignment="1" applyProtection="1">
      <alignment vertical="center"/>
      <protection/>
    </xf>
    <xf numFmtId="49" fontId="3" fillId="33" borderId="20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vertical="center"/>
      <protection/>
    </xf>
    <xf numFmtId="49" fontId="3" fillId="33" borderId="17" xfId="0" applyNumberFormat="1" applyFont="1" applyFill="1" applyBorder="1" applyAlignment="1" applyProtection="1">
      <alignment vertical="center"/>
      <protection/>
    </xf>
    <xf numFmtId="49" fontId="3" fillId="33" borderId="26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M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60" width="1.75390625" style="6" customWidth="1"/>
    <col min="61" max="61" width="2.25390625" style="6" customWidth="1"/>
    <col min="62" max="62" width="1.75390625" style="6" customWidth="1"/>
    <col min="63" max="114" width="1.75390625" style="6" hidden="1" customWidth="1"/>
    <col min="115" max="116" width="1.75390625" style="6" customWidth="1"/>
    <col min="117" max="117" width="4.625" style="6" customWidth="1"/>
    <col min="118" max="16384" width="1.75390625" style="6" customWidth="1"/>
  </cols>
  <sheetData>
    <row r="1" spans="2:61" ht="15" customHeight="1" thickBot="1">
      <c r="B1" s="196" t="s">
        <v>110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6.75" customHeight="1" hidden="1">
      <c r="B3" s="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6"/>
      <c r="X3" s="28"/>
      <c r="Y3" s="28"/>
      <c r="Z3" s="28"/>
      <c r="AA3" s="28"/>
      <c r="AB3" s="28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5"/>
    </row>
    <row r="4" spans="2:61" ht="7.5" customHeight="1" hidden="1">
      <c r="B4" s="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5"/>
    </row>
    <row r="5" spans="2:61" ht="6.75" customHeight="1" hidden="1">
      <c r="B5" s="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5"/>
    </row>
    <row r="6" spans="2:117" ht="15.75" customHeight="1">
      <c r="B6" s="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5"/>
      <c r="DM6" s="66" t="s">
        <v>96</v>
      </c>
    </row>
    <row r="7" spans="2:61" ht="7.5" customHeight="1">
      <c r="B7" s="4"/>
      <c r="C7" s="87" t="s">
        <v>27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93" t="s">
        <v>0</v>
      </c>
      <c r="AL7" s="119"/>
      <c r="AM7" s="119"/>
      <c r="AN7" s="102"/>
      <c r="AO7" s="102"/>
      <c r="AP7" s="102"/>
      <c r="AQ7" s="102"/>
      <c r="AR7" s="102"/>
      <c r="AS7" s="102"/>
      <c r="AT7" s="102"/>
      <c r="AU7" s="103"/>
      <c r="AV7" s="203" t="s">
        <v>28</v>
      </c>
      <c r="AW7" s="204"/>
      <c r="AX7" s="204"/>
      <c r="AY7" s="205"/>
      <c r="AZ7" s="97"/>
      <c r="BA7" s="98"/>
      <c r="BB7" s="87" t="s">
        <v>29</v>
      </c>
      <c r="BC7" s="88"/>
      <c r="BD7" s="88"/>
      <c r="BE7" s="88"/>
      <c r="BF7" s="89"/>
      <c r="BG7" s="97"/>
      <c r="BH7" s="98"/>
      <c r="BI7" s="5"/>
    </row>
    <row r="8" spans="2:61" ht="7.5" customHeight="1">
      <c r="B8" s="4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8"/>
      <c r="AL8" s="199"/>
      <c r="AM8" s="199"/>
      <c r="AN8" s="200"/>
      <c r="AO8" s="200"/>
      <c r="AP8" s="200"/>
      <c r="AQ8" s="200"/>
      <c r="AR8" s="200"/>
      <c r="AS8" s="200"/>
      <c r="AT8" s="200"/>
      <c r="AU8" s="201"/>
      <c r="AV8" s="206"/>
      <c r="AW8" s="207"/>
      <c r="AX8" s="207"/>
      <c r="AY8" s="208"/>
      <c r="AZ8" s="157"/>
      <c r="BA8" s="159"/>
      <c r="BB8" s="117"/>
      <c r="BC8" s="118"/>
      <c r="BD8" s="118"/>
      <c r="BE8" s="118"/>
      <c r="BF8" s="194"/>
      <c r="BG8" s="157"/>
      <c r="BH8" s="159"/>
      <c r="BI8" s="5"/>
    </row>
    <row r="9" spans="2:61" ht="7.5" customHeight="1">
      <c r="B9" s="4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95"/>
      <c r="AL9" s="120"/>
      <c r="AM9" s="120"/>
      <c r="AN9" s="105"/>
      <c r="AO9" s="105"/>
      <c r="AP9" s="105"/>
      <c r="AQ9" s="105"/>
      <c r="AR9" s="105"/>
      <c r="AS9" s="105"/>
      <c r="AT9" s="105"/>
      <c r="AU9" s="106"/>
      <c r="AV9" s="209"/>
      <c r="AW9" s="210"/>
      <c r="AX9" s="210"/>
      <c r="AY9" s="211"/>
      <c r="AZ9" s="99"/>
      <c r="BA9" s="100"/>
      <c r="BB9" s="90"/>
      <c r="BC9" s="91"/>
      <c r="BD9" s="91"/>
      <c r="BE9" s="91"/>
      <c r="BF9" s="92"/>
      <c r="BG9" s="99"/>
      <c r="BH9" s="100"/>
      <c r="BI9" s="5"/>
    </row>
    <row r="10" spans="2:61" ht="7.5" customHeight="1">
      <c r="B10" s="4"/>
      <c r="C10" s="121" t="s">
        <v>1</v>
      </c>
      <c r="D10" s="122"/>
      <c r="E10" s="122"/>
      <c r="F10" s="122"/>
      <c r="G10" s="122"/>
      <c r="H10" s="122"/>
      <c r="I10" s="122"/>
      <c r="J10" s="122"/>
      <c r="K10" s="65"/>
      <c r="L10" s="190" t="str">
        <f>IF(OR(DM6="BYN",DM6=933),Лист2!I71,IF(OR(DM6="RUB",DM6=643),Лист2!U71,IF(OR(DM6="usd",DM6=840),Лист2!AH71,IF(OR(DM6="EUR",DM6=978),Лист2!AU71,""))))</f>
        <v> Сто сорок пять белорусских рублей, 88 копеек</v>
      </c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1"/>
      <c r="BI10" s="5"/>
    </row>
    <row r="11" spans="2:61" ht="7.5" customHeight="1">
      <c r="B11" s="4"/>
      <c r="C11" s="123"/>
      <c r="D11" s="124"/>
      <c r="E11" s="124"/>
      <c r="F11" s="124"/>
      <c r="G11" s="124"/>
      <c r="H11" s="124"/>
      <c r="I11" s="124"/>
      <c r="J11" s="124"/>
      <c r="K11" s="64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3"/>
      <c r="BI11" s="5"/>
    </row>
    <row r="12" spans="2:61" ht="7.5" customHeight="1">
      <c r="B12" s="4"/>
      <c r="C12" s="123"/>
      <c r="D12" s="124"/>
      <c r="E12" s="124"/>
      <c r="F12" s="124"/>
      <c r="G12" s="124"/>
      <c r="H12" s="124"/>
      <c r="I12" s="124"/>
      <c r="J12" s="124"/>
      <c r="K12" s="64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3"/>
      <c r="BI12" s="5"/>
    </row>
    <row r="13" spans="2:68" ht="7.5" customHeight="1">
      <c r="B13" s="4"/>
      <c r="C13" s="123"/>
      <c r="D13" s="124"/>
      <c r="E13" s="124"/>
      <c r="F13" s="124"/>
      <c r="G13" s="124"/>
      <c r="H13" s="124"/>
      <c r="I13" s="124"/>
      <c r="J13" s="124"/>
      <c r="K13" s="64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3"/>
      <c r="BI13" s="5"/>
      <c r="BP13" s="67" t="s">
        <v>96</v>
      </c>
    </row>
    <row r="14" spans="2:68" ht="7.5" customHeight="1">
      <c r="B14" s="4"/>
      <c r="C14" s="123"/>
      <c r="D14" s="124"/>
      <c r="E14" s="124"/>
      <c r="F14" s="124"/>
      <c r="G14" s="124"/>
      <c r="H14" s="124"/>
      <c r="I14" s="124"/>
      <c r="J14" s="124"/>
      <c r="K14" s="64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3"/>
      <c r="BI14" s="5"/>
      <c r="BP14" s="68">
        <v>933</v>
      </c>
    </row>
    <row r="15" spans="2:68" ht="7.5" customHeight="1">
      <c r="B15" s="4"/>
      <c r="C15" s="15"/>
      <c r="D15" s="16"/>
      <c r="E15" s="16"/>
      <c r="F15" s="16"/>
      <c r="G15" s="16"/>
      <c r="H15" s="16"/>
      <c r="I15" s="16"/>
      <c r="J15" s="16"/>
      <c r="K15" s="64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3"/>
      <c r="BI15" s="5"/>
      <c r="BP15" s="67" t="s">
        <v>97</v>
      </c>
    </row>
    <row r="16" spans="2:68" ht="7.5" customHeight="1">
      <c r="B16" s="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9" t="s">
        <v>20</v>
      </c>
      <c r="AG16" s="189"/>
      <c r="AH16" s="189"/>
      <c r="AI16" s="189"/>
      <c r="AJ16" s="189"/>
      <c r="AK16" s="189"/>
      <c r="AL16" s="171" t="str">
        <f>IF(DM6="","",DM6)</f>
        <v>BYN</v>
      </c>
      <c r="AM16" s="172"/>
      <c r="AN16" s="172"/>
      <c r="AO16" s="173"/>
      <c r="AP16" s="133" t="s">
        <v>2</v>
      </c>
      <c r="AQ16" s="134"/>
      <c r="AR16" s="134"/>
      <c r="AS16" s="134"/>
      <c r="AT16" s="135"/>
      <c r="AU16" s="180">
        <v>145.88</v>
      </c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5"/>
      <c r="BP16" s="68">
        <v>643</v>
      </c>
    </row>
    <row r="17" spans="2:68" ht="7.5" customHeight="1">
      <c r="B17" s="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9"/>
      <c r="AG17" s="189"/>
      <c r="AH17" s="189"/>
      <c r="AI17" s="189"/>
      <c r="AJ17" s="189"/>
      <c r="AK17" s="189"/>
      <c r="AL17" s="174"/>
      <c r="AM17" s="175"/>
      <c r="AN17" s="175"/>
      <c r="AO17" s="176"/>
      <c r="AP17" s="136"/>
      <c r="AQ17" s="137"/>
      <c r="AR17" s="137"/>
      <c r="AS17" s="137"/>
      <c r="AT17" s="138"/>
      <c r="AU17" s="183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5"/>
      <c r="BI17" s="5"/>
      <c r="BP17" s="69" t="s">
        <v>98</v>
      </c>
    </row>
    <row r="18" spans="2:68" ht="7.5" customHeight="1">
      <c r="B18" s="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9"/>
      <c r="AG18" s="189"/>
      <c r="AH18" s="189"/>
      <c r="AI18" s="189"/>
      <c r="AJ18" s="189"/>
      <c r="AK18" s="189"/>
      <c r="AL18" s="177"/>
      <c r="AM18" s="178"/>
      <c r="AN18" s="178"/>
      <c r="AO18" s="179"/>
      <c r="AP18" s="139"/>
      <c r="AQ18" s="140"/>
      <c r="AR18" s="140"/>
      <c r="AS18" s="140"/>
      <c r="AT18" s="141"/>
      <c r="AU18" s="186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8"/>
      <c r="BI18" s="5"/>
      <c r="BP18" s="68">
        <v>840</v>
      </c>
    </row>
    <row r="19" spans="2:68" ht="7.5" customHeight="1">
      <c r="B19" s="4"/>
      <c r="C19" s="121" t="s">
        <v>3</v>
      </c>
      <c r="D19" s="122"/>
      <c r="E19" s="122"/>
      <c r="F19" s="122"/>
      <c r="G19" s="122"/>
      <c r="H19" s="122"/>
      <c r="I19" s="122"/>
      <c r="J19" s="30"/>
      <c r="K19" s="30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3"/>
      <c r="BI19" s="5"/>
      <c r="BP19" s="67" t="s">
        <v>99</v>
      </c>
    </row>
    <row r="20" spans="2:68" ht="7.5" customHeight="1">
      <c r="B20" s="4"/>
      <c r="C20" s="123"/>
      <c r="D20" s="124"/>
      <c r="E20" s="124"/>
      <c r="F20" s="124"/>
      <c r="G20" s="124"/>
      <c r="H20" s="124"/>
      <c r="I20" s="124"/>
      <c r="J20" s="31"/>
      <c r="K20" s="31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5"/>
      <c r="BI20" s="5"/>
      <c r="BP20" s="68">
        <v>978</v>
      </c>
    </row>
    <row r="21" spans="2:61" ht="7.5" customHeight="1">
      <c r="B21" s="4"/>
      <c r="C21" s="123"/>
      <c r="D21" s="124"/>
      <c r="E21" s="124"/>
      <c r="F21" s="124"/>
      <c r="G21" s="124"/>
      <c r="H21" s="124"/>
      <c r="I21" s="124"/>
      <c r="J21" s="31"/>
      <c r="K21" s="31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5"/>
      <c r="BI21" s="5"/>
    </row>
    <row r="22" spans="2:61" ht="7.5" customHeight="1">
      <c r="B22" s="4"/>
      <c r="C22" s="14"/>
      <c r="D22" s="11"/>
      <c r="E22" s="11"/>
      <c r="F22" s="11"/>
      <c r="G22" s="11"/>
      <c r="H22" s="11"/>
      <c r="I22" s="11"/>
      <c r="J22" s="31"/>
      <c r="K22" s="31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5"/>
      <c r="BI22" s="5"/>
    </row>
    <row r="23" spans="2:61" ht="7.5" customHeight="1">
      <c r="B23" s="4"/>
      <c r="C23" s="14"/>
      <c r="D23" s="11"/>
      <c r="E23" s="11"/>
      <c r="F23" s="11"/>
      <c r="G23" s="11"/>
      <c r="H23" s="11"/>
      <c r="I23" s="1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33" t="s">
        <v>4</v>
      </c>
      <c r="AI23" s="134"/>
      <c r="AJ23" s="134"/>
      <c r="AK23" s="135"/>
      <c r="AL23" s="146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8"/>
      <c r="BI23" s="5"/>
    </row>
    <row r="24" spans="2:61" ht="7.5" customHeight="1">
      <c r="B24" s="4"/>
      <c r="C24" s="15"/>
      <c r="D24" s="16"/>
      <c r="E24" s="16"/>
      <c r="F24" s="16"/>
      <c r="G24" s="16"/>
      <c r="H24" s="16"/>
      <c r="I24" s="1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36"/>
      <c r="AI24" s="137"/>
      <c r="AJ24" s="137"/>
      <c r="AK24" s="138"/>
      <c r="AL24" s="149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1"/>
      <c r="BI24" s="5"/>
    </row>
    <row r="25" spans="2:61" ht="7.5" customHeight="1">
      <c r="B25" s="4"/>
      <c r="C25" s="17"/>
      <c r="D25" s="18"/>
      <c r="E25" s="18"/>
      <c r="F25" s="18"/>
      <c r="G25" s="18"/>
      <c r="H25" s="18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39"/>
      <c r="AI25" s="140"/>
      <c r="AJ25" s="140"/>
      <c r="AK25" s="141"/>
      <c r="AL25" s="152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4"/>
      <c r="BI25" s="5"/>
    </row>
    <row r="26" spans="2:61" ht="7.5" customHeight="1">
      <c r="B26" s="4"/>
      <c r="C26" s="121" t="s">
        <v>5</v>
      </c>
      <c r="D26" s="122"/>
      <c r="E26" s="122"/>
      <c r="F26" s="122"/>
      <c r="G26" s="122"/>
      <c r="H26" s="122"/>
      <c r="I26" s="122"/>
      <c r="J26" s="122"/>
      <c r="K26" s="12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3"/>
      <c r="BI26" s="5"/>
    </row>
    <row r="27" spans="2:61" ht="7.5" customHeight="1">
      <c r="B27" s="4"/>
      <c r="C27" s="123"/>
      <c r="D27" s="124"/>
      <c r="E27" s="124"/>
      <c r="F27" s="124"/>
      <c r="G27" s="124"/>
      <c r="H27" s="124"/>
      <c r="I27" s="124"/>
      <c r="J27" s="124"/>
      <c r="K27" s="12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5"/>
      <c r="BI27" s="5"/>
    </row>
    <row r="28" spans="2:61" ht="7.5" customHeight="1">
      <c r="B28" s="4"/>
      <c r="C28" s="15"/>
      <c r="D28" s="16"/>
      <c r="E28" s="16"/>
      <c r="F28" s="16"/>
      <c r="G28" s="16"/>
      <c r="H28" s="16"/>
      <c r="I28" s="16"/>
      <c r="J28" s="16"/>
      <c r="K28" s="16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133" t="s">
        <v>6</v>
      </c>
      <c r="AI28" s="134"/>
      <c r="AJ28" s="134"/>
      <c r="AK28" s="135"/>
      <c r="AL28" s="146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8"/>
      <c r="BI28" s="5"/>
    </row>
    <row r="29" spans="2:61" ht="7.5" customHeight="1">
      <c r="B29" s="4"/>
      <c r="C29" s="15"/>
      <c r="D29" s="16"/>
      <c r="E29" s="16"/>
      <c r="F29" s="16"/>
      <c r="G29" s="16"/>
      <c r="H29" s="16"/>
      <c r="I29" s="16"/>
      <c r="J29" s="16"/>
      <c r="K29" s="16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136"/>
      <c r="AI29" s="137"/>
      <c r="AJ29" s="137"/>
      <c r="AK29" s="138"/>
      <c r="AL29" s="149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1"/>
      <c r="BI29" s="5"/>
    </row>
    <row r="30" spans="2:61" ht="7.5" customHeight="1">
      <c r="B30" s="4"/>
      <c r="C30" s="17"/>
      <c r="D30" s="18"/>
      <c r="E30" s="18"/>
      <c r="F30" s="18"/>
      <c r="G30" s="18"/>
      <c r="H30" s="18"/>
      <c r="I30" s="18"/>
      <c r="J30" s="18"/>
      <c r="K30" s="18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136"/>
      <c r="AI30" s="137"/>
      <c r="AJ30" s="137"/>
      <c r="AK30" s="138"/>
      <c r="AL30" s="152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4"/>
      <c r="BI30" s="5"/>
    </row>
    <row r="31" spans="2:61" ht="7.5" customHeight="1">
      <c r="B31" s="4"/>
      <c r="C31" s="121" t="s">
        <v>7</v>
      </c>
      <c r="D31" s="122"/>
      <c r="E31" s="122"/>
      <c r="F31" s="122"/>
      <c r="G31" s="122"/>
      <c r="H31" s="122"/>
      <c r="I31" s="122"/>
      <c r="J31" s="122"/>
      <c r="K31" s="12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3"/>
      <c r="BI31" s="5"/>
    </row>
    <row r="32" spans="2:61" ht="7.5" customHeight="1">
      <c r="B32" s="4"/>
      <c r="C32" s="123"/>
      <c r="D32" s="124"/>
      <c r="E32" s="124"/>
      <c r="F32" s="124"/>
      <c r="G32" s="124"/>
      <c r="H32" s="124"/>
      <c r="I32" s="124"/>
      <c r="J32" s="124"/>
      <c r="K32" s="12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5"/>
      <c r="BI32" s="5"/>
    </row>
    <row r="33" spans="2:61" ht="7.5" customHeight="1">
      <c r="B33" s="4"/>
      <c r="C33" s="15"/>
      <c r="D33" s="16"/>
      <c r="E33" s="16"/>
      <c r="F33" s="16"/>
      <c r="G33" s="16"/>
      <c r="H33" s="16"/>
      <c r="I33" s="16"/>
      <c r="J33" s="16"/>
      <c r="K33" s="16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133" t="s">
        <v>6</v>
      </c>
      <c r="AI33" s="134"/>
      <c r="AJ33" s="134"/>
      <c r="AK33" s="135"/>
      <c r="AL33" s="146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5"/>
    </row>
    <row r="34" spans="2:61" ht="7.5" customHeight="1">
      <c r="B34" s="4"/>
      <c r="C34" s="15"/>
      <c r="D34" s="16"/>
      <c r="E34" s="16"/>
      <c r="F34" s="16"/>
      <c r="G34" s="16"/>
      <c r="H34" s="16"/>
      <c r="I34" s="16"/>
      <c r="J34" s="16"/>
      <c r="K34" s="16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136"/>
      <c r="AI34" s="137"/>
      <c r="AJ34" s="137"/>
      <c r="AK34" s="138"/>
      <c r="AL34" s="149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5"/>
    </row>
    <row r="35" spans="2:61" ht="7.5" customHeight="1">
      <c r="B35" s="4"/>
      <c r="C35" s="17"/>
      <c r="D35" s="18"/>
      <c r="E35" s="18"/>
      <c r="F35" s="18"/>
      <c r="G35" s="18"/>
      <c r="H35" s="18"/>
      <c r="I35" s="18"/>
      <c r="J35" s="18"/>
      <c r="K35" s="1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136"/>
      <c r="AI35" s="137"/>
      <c r="AJ35" s="137"/>
      <c r="AK35" s="138"/>
      <c r="AL35" s="152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4"/>
      <c r="BI35" s="5"/>
    </row>
    <row r="36" spans="2:61" ht="7.5" customHeight="1">
      <c r="B36" s="4"/>
      <c r="C36" s="121" t="s">
        <v>8</v>
      </c>
      <c r="D36" s="122"/>
      <c r="E36" s="122"/>
      <c r="F36" s="122"/>
      <c r="G36" s="122"/>
      <c r="H36" s="122"/>
      <c r="I36" s="122"/>
      <c r="J36" s="19"/>
      <c r="K36" s="30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3"/>
      <c r="BI36" s="5"/>
    </row>
    <row r="37" spans="2:61" ht="7.5" customHeight="1">
      <c r="B37" s="4"/>
      <c r="C37" s="123"/>
      <c r="D37" s="124"/>
      <c r="E37" s="124"/>
      <c r="F37" s="124"/>
      <c r="G37" s="124"/>
      <c r="H37" s="124"/>
      <c r="I37" s="124"/>
      <c r="J37" s="20"/>
      <c r="K37" s="31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5"/>
      <c r="BI37" s="5"/>
    </row>
    <row r="38" spans="2:61" ht="7.5" customHeight="1">
      <c r="B38" s="4"/>
      <c r="C38" s="15"/>
      <c r="D38" s="16"/>
      <c r="E38" s="16"/>
      <c r="F38" s="16"/>
      <c r="G38" s="16"/>
      <c r="H38" s="16"/>
      <c r="I38" s="16"/>
      <c r="J38" s="20"/>
      <c r="K38" s="31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5"/>
      <c r="BI38" s="5"/>
    </row>
    <row r="39" spans="2:61" ht="7.5" customHeight="1">
      <c r="B39" s="4"/>
      <c r="C39" s="15"/>
      <c r="D39" s="16"/>
      <c r="E39" s="16"/>
      <c r="F39" s="16"/>
      <c r="G39" s="16"/>
      <c r="H39" s="16"/>
      <c r="I39" s="16"/>
      <c r="J39" s="20"/>
      <c r="K39" s="31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5"/>
      <c r="BI39" s="5"/>
    </row>
    <row r="40" spans="2:61" ht="7.5" customHeight="1">
      <c r="B40" s="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33" t="s">
        <v>4</v>
      </c>
      <c r="AI40" s="134"/>
      <c r="AJ40" s="134"/>
      <c r="AK40" s="135"/>
      <c r="AL40" s="146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5"/>
    </row>
    <row r="41" spans="2:61" ht="7.5" customHeight="1">
      <c r="B41" s="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36"/>
      <c r="AI41" s="137"/>
      <c r="AJ41" s="137"/>
      <c r="AK41" s="138"/>
      <c r="AL41" s="149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1"/>
      <c r="BI41" s="5"/>
    </row>
    <row r="42" spans="2:61" ht="7.5" customHeight="1">
      <c r="B42" s="4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39"/>
      <c r="AI42" s="140"/>
      <c r="AJ42" s="140"/>
      <c r="AK42" s="141"/>
      <c r="AL42" s="152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4"/>
      <c r="BI42" s="5"/>
    </row>
    <row r="43" spans="2:61" ht="7.5" customHeight="1">
      <c r="B43" s="4"/>
      <c r="C43" s="121" t="s">
        <v>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3"/>
      <c r="BI43" s="5"/>
    </row>
    <row r="44" spans="2:61" ht="7.5" customHeight="1">
      <c r="B44" s="4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5"/>
      <c r="BI44" s="5"/>
    </row>
    <row r="45" spans="2:61" ht="7.5" customHeight="1">
      <c r="B45" s="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5"/>
      <c r="BI45" s="5"/>
    </row>
    <row r="46" spans="2:61" ht="7.5" customHeight="1">
      <c r="B46" s="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5"/>
      <c r="BI46" s="5"/>
    </row>
    <row r="47" spans="2:61" ht="7.5" customHeight="1">
      <c r="B47" s="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5"/>
      <c r="BI47" s="5"/>
    </row>
    <row r="48" spans="2:61" ht="7.5" customHeight="1">
      <c r="B48" s="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5"/>
      <c r="BI48" s="5"/>
    </row>
    <row r="49" spans="2:61" ht="7.5" customHeight="1">
      <c r="B49" s="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5"/>
      <c r="BI49" s="5"/>
    </row>
    <row r="50" spans="2:61" ht="7.5" customHeight="1">
      <c r="B50" s="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5"/>
      <c r="BI50" s="5"/>
    </row>
    <row r="51" spans="2:61" ht="7.5" customHeight="1">
      <c r="B51" s="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5"/>
      <c r="BI51" s="5"/>
    </row>
    <row r="52" spans="2:61" ht="7.5" customHeight="1">
      <c r="B52" s="4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6"/>
      <c r="BI52" s="5"/>
    </row>
    <row r="53" spans="2:61" ht="7.5" customHeight="1">
      <c r="B53" s="4"/>
      <c r="C53" s="97" t="s">
        <v>10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98"/>
      <c r="P53" s="97" t="s">
        <v>11</v>
      </c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98"/>
      <c r="AC53" s="97" t="s">
        <v>30</v>
      </c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98"/>
      <c r="AP53" s="97" t="s">
        <v>31</v>
      </c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98"/>
      <c r="BC53" s="97" t="s">
        <v>12</v>
      </c>
      <c r="BD53" s="125"/>
      <c r="BE53" s="125"/>
      <c r="BF53" s="125"/>
      <c r="BG53" s="125"/>
      <c r="BH53" s="98"/>
      <c r="BI53" s="5"/>
    </row>
    <row r="54" spans="2:61" ht="7.5" customHeight="1">
      <c r="B54" s="4"/>
      <c r="C54" s="99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00"/>
      <c r="P54" s="99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00"/>
      <c r="AC54" s="99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00"/>
      <c r="AP54" s="99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00"/>
      <c r="BC54" s="99"/>
      <c r="BD54" s="126"/>
      <c r="BE54" s="126"/>
      <c r="BF54" s="126"/>
      <c r="BG54" s="126"/>
      <c r="BH54" s="100"/>
      <c r="BI54" s="5"/>
    </row>
    <row r="55" spans="2:61" ht="7.5" customHeight="1">
      <c r="B55" s="4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01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3"/>
      <c r="AP55" s="101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101"/>
      <c r="BD55" s="102"/>
      <c r="BE55" s="102"/>
      <c r="BF55" s="102"/>
      <c r="BG55" s="102"/>
      <c r="BH55" s="103"/>
      <c r="BI55" s="5"/>
    </row>
    <row r="56" spans="2:61" ht="7.5" customHeight="1">
      <c r="B56" s="4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104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104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6"/>
      <c r="AP56" s="104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  <c r="BC56" s="104"/>
      <c r="BD56" s="105"/>
      <c r="BE56" s="105"/>
      <c r="BF56" s="105"/>
      <c r="BG56" s="105"/>
      <c r="BH56" s="106"/>
      <c r="BI56" s="5"/>
    </row>
    <row r="57" spans="2:61" ht="7.5" customHeight="1">
      <c r="B57" s="4"/>
      <c r="C57" s="87" t="s">
        <v>32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189" t="s">
        <v>6</v>
      </c>
      <c r="T57" s="189"/>
      <c r="U57" s="189"/>
      <c r="V57" s="189"/>
      <c r="W57" s="189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3" t="s">
        <v>4</v>
      </c>
      <c r="AI57" s="213"/>
      <c r="AJ57" s="213"/>
      <c r="AK57" s="2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5"/>
    </row>
    <row r="58" spans="2:61" ht="7.5" customHeight="1">
      <c r="B58" s="4"/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89"/>
      <c r="T58" s="189"/>
      <c r="U58" s="189"/>
      <c r="V58" s="189"/>
      <c r="W58" s="189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3"/>
      <c r="AI58" s="213"/>
      <c r="AJ58" s="213"/>
      <c r="AK58" s="2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5"/>
    </row>
    <row r="59" spans="2:61" ht="7.5" customHeight="1">
      <c r="B59" s="4"/>
      <c r="C59" s="15"/>
      <c r="D59" s="16"/>
      <c r="E59" s="16"/>
      <c r="F59" s="16"/>
      <c r="G59" s="16"/>
      <c r="H59" s="16"/>
      <c r="I59" s="16"/>
      <c r="J59" s="20"/>
      <c r="K59" s="20"/>
      <c r="L59" s="20"/>
      <c r="M59" s="20"/>
      <c r="N59" s="20"/>
      <c r="O59" s="20"/>
      <c r="P59" s="20"/>
      <c r="Q59" s="20"/>
      <c r="R59" s="20"/>
      <c r="S59" s="189"/>
      <c r="T59" s="189"/>
      <c r="U59" s="189"/>
      <c r="V59" s="189"/>
      <c r="W59" s="189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3"/>
      <c r="AI59" s="213"/>
      <c r="AJ59" s="213"/>
      <c r="AK59" s="2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5"/>
    </row>
    <row r="60" spans="2:61" ht="7.5" customHeight="1">
      <c r="B60" s="4"/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9"/>
      <c r="BI60" s="5"/>
    </row>
    <row r="61" spans="2:61" ht="7.5" customHeight="1">
      <c r="B61" s="4"/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70"/>
      <c r="BI61" s="5"/>
    </row>
    <row r="62" spans="2:61" ht="7.5" customHeight="1">
      <c r="B62" s="4"/>
      <c r="C62" s="87" t="s">
        <v>13</v>
      </c>
      <c r="D62" s="88"/>
      <c r="E62" s="88"/>
      <c r="F62" s="88"/>
      <c r="G62" s="88"/>
      <c r="H62" s="88"/>
      <c r="I62" s="88"/>
      <c r="J62" s="88"/>
      <c r="K62" s="88"/>
      <c r="L62" s="88"/>
      <c r="M62" s="89"/>
      <c r="N62" s="93" t="s">
        <v>14</v>
      </c>
      <c r="O62" s="94"/>
      <c r="P62" s="97"/>
      <c r="Q62" s="98"/>
      <c r="R62" s="93" t="s">
        <v>16</v>
      </c>
      <c r="S62" s="94"/>
      <c r="T62" s="97"/>
      <c r="U62" s="98"/>
      <c r="V62" s="93" t="s">
        <v>15</v>
      </c>
      <c r="W62" s="119"/>
      <c r="X62" s="94"/>
      <c r="Y62" s="97"/>
      <c r="Z62" s="98"/>
      <c r="AA62" s="87" t="s">
        <v>33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9"/>
      <c r="AO62" s="107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9"/>
      <c r="BI62" s="5"/>
    </row>
    <row r="63" spans="2:61" ht="7.5" customHeight="1">
      <c r="B63" s="4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5"/>
      <c r="O63" s="96"/>
      <c r="P63" s="99"/>
      <c r="Q63" s="100"/>
      <c r="R63" s="95"/>
      <c r="S63" s="96"/>
      <c r="T63" s="99"/>
      <c r="U63" s="100"/>
      <c r="V63" s="95"/>
      <c r="W63" s="120"/>
      <c r="X63" s="96"/>
      <c r="Y63" s="99"/>
      <c r="Z63" s="100"/>
      <c r="AA63" s="90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110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2"/>
      <c r="BI63" s="5"/>
    </row>
    <row r="64" spans="2:61" ht="7.5" customHeight="1">
      <c r="B64" s="4"/>
      <c r="C64" s="87" t="s">
        <v>83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9"/>
      <c r="BI64" s="5"/>
    </row>
    <row r="65" spans="2:61" ht="7.5" customHeight="1">
      <c r="B65" s="4"/>
      <c r="C65" s="11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6"/>
      <c r="BI65" s="5"/>
    </row>
    <row r="66" spans="2:61" ht="7.5" customHeight="1">
      <c r="B66" s="4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2"/>
      <c r="BI66" s="5"/>
    </row>
    <row r="67" spans="2:61" ht="7.5" customHeight="1">
      <c r="B67" s="4"/>
      <c r="C67" s="133" t="s">
        <v>111</v>
      </c>
      <c r="D67" s="134"/>
      <c r="E67" s="134"/>
      <c r="F67" s="134"/>
      <c r="G67" s="134"/>
      <c r="H67" s="135"/>
      <c r="I67" s="107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9"/>
      <c r="BI67" s="5"/>
    </row>
    <row r="68" spans="2:61" ht="7.5" customHeight="1">
      <c r="B68" s="4"/>
      <c r="C68" s="136"/>
      <c r="D68" s="137"/>
      <c r="E68" s="137"/>
      <c r="F68" s="137"/>
      <c r="G68" s="137"/>
      <c r="H68" s="138"/>
      <c r="I68" s="114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6"/>
      <c r="BI68" s="5"/>
    </row>
    <row r="69" spans="2:61" ht="7.5" customHeight="1">
      <c r="B69" s="4"/>
      <c r="C69" s="139"/>
      <c r="D69" s="140"/>
      <c r="E69" s="140"/>
      <c r="F69" s="140"/>
      <c r="G69" s="140"/>
      <c r="H69" s="141"/>
      <c r="I69" s="110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2"/>
      <c r="BI69" s="5"/>
    </row>
    <row r="70" spans="2:61" ht="7.5" customHeight="1">
      <c r="B70" s="4"/>
      <c r="C70" s="97" t="s">
        <v>17</v>
      </c>
      <c r="D70" s="125"/>
      <c r="E70" s="125"/>
      <c r="F70" s="125"/>
      <c r="G70" s="125"/>
      <c r="H70" s="125"/>
      <c r="I70" s="125"/>
      <c r="J70" s="125"/>
      <c r="K70" s="125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212"/>
      <c r="BI70" s="5"/>
    </row>
    <row r="71" spans="2:61" ht="7.5" customHeight="1">
      <c r="B71" s="4"/>
      <c r="C71" s="99"/>
      <c r="D71" s="126"/>
      <c r="E71" s="126"/>
      <c r="F71" s="126"/>
      <c r="G71" s="126"/>
      <c r="H71" s="126"/>
      <c r="I71" s="126"/>
      <c r="J71" s="126"/>
      <c r="K71" s="12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70"/>
      <c r="BI71" s="5"/>
    </row>
    <row r="72" spans="2:61" ht="7.5" customHeight="1">
      <c r="B72" s="4"/>
      <c r="C72" s="97" t="s">
        <v>34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98"/>
      <c r="BI72" s="5"/>
    </row>
    <row r="73" spans="2:61" ht="7.5" customHeight="1">
      <c r="B73" s="4"/>
      <c r="C73" s="15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9"/>
      <c r="BI73" s="5"/>
    </row>
    <row r="74" spans="2:61" ht="7.5" customHeight="1">
      <c r="B74" s="4"/>
      <c r="C74" s="15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9"/>
      <c r="BI74" s="5"/>
    </row>
    <row r="75" spans="2:61" ht="7.5" customHeight="1">
      <c r="B75" s="4"/>
      <c r="C75" s="99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00"/>
      <c r="BI75" s="5"/>
    </row>
    <row r="76" spans="2:61" ht="7.5" customHeight="1">
      <c r="B76" s="4"/>
      <c r="C76" s="167" t="s">
        <v>35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212"/>
      <c r="BI76" s="5"/>
    </row>
    <row r="77" spans="2:61" ht="7.5" customHeight="1">
      <c r="B77" s="4"/>
      <c r="C77" s="163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9"/>
      <c r="BI77" s="5"/>
    </row>
    <row r="78" spans="2:61" ht="7.5" customHeight="1">
      <c r="B78" s="4"/>
      <c r="C78" s="1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9"/>
      <c r="BI78" s="5"/>
    </row>
    <row r="79" spans="2:61" ht="7.5" customHeight="1">
      <c r="B79" s="4"/>
      <c r="C79" s="1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2"/>
      <c r="BI79" s="5"/>
    </row>
    <row r="80" spans="2:61" ht="7.5" customHeight="1">
      <c r="B80" s="4"/>
      <c r="C80" s="163" t="s">
        <v>36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1"/>
      <c r="AE80" s="164" t="s">
        <v>37</v>
      </c>
      <c r="AF80" s="164"/>
      <c r="AG80" s="164"/>
      <c r="AH80" s="164"/>
      <c r="AI80" s="164"/>
      <c r="AJ80" s="164"/>
      <c r="AK80" s="164"/>
      <c r="AL80" s="164"/>
      <c r="AM80" s="164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9"/>
      <c r="BI80" s="5"/>
    </row>
    <row r="81" spans="2:61" ht="7.5" customHeight="1">
      <c r="B81" s="4"/>
      <c r="C81" s="165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3"/>
      <c r="AE81" s="166"/>
      <c r="AF81" s="166"/>
      <c r="AG81" s="166"/>
      <c r="AH81" s="166"/>
      <c r="AI81" s="166"/>
      <c r="AJ81" s="166"/>
      <c r="AK81" s="166"/>
      <c r="AL81" s="166"/>
      <c r="AM81" s="16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00"/>
      <c r="BI81" s="5"/>
    </row>
    <row r="82" spans="2:61" ht="7.5" customHeight="1">
      <c r="B82" s="4"/>
      <c r="C82" s="97" t="s">
        <v>18</v>
      </c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98"/>
      <c r="O82" s="97" t="s">
        <v>19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98"/>
      <c r="AA82" s="127" t="s">
        <v>20</v>
      </c>
      <c r="AB82" s="128"/>
      <c r="AC82" s="128"/>
      <c r="AD82" s="129"/>
      <c r="AE82" s="97" t="s">
        <v>21</v>
      </c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98"/>
      <c r="AR82" s="97" t="s">
        <v>22</v>
      </c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98"/>
      <c r="BI82" s="5"/>
    </row>
    <row r="83" spans="2:61" ht="7.5" customHeight="1">
      <c r="B83" s="4"/>
      <c r="C83" s="157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9"/>
      <c r="O83" s="157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60"/>
      <c r="AB83" s="161"/>
      <c r="AC83" s="161"/>
      <c r="AD83" s="162"/>
      <c r="AE83" s="157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157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9"/>
      <c r="BI83" s="5"/>
    </row>
    <row r="84" spans="2:61" ht="7.5" customHeight="1">
      <c r="B84" s="4"/>
      <c r="C84" s="99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00"/>
      <c r="O84" s="99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00"/>
      <c r="AA84" s="130"/>
      <c r="AB84" s="131"/>
      <c r="AC84" s="131"/>
      <c r="AD84" s="132"/>
      <c r="AE84" s="99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00"/>
      <c r="AR84" s="99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00"/>
      <c r="BI84" s="5"/>
    </row>
    <row r="85" spans="2:61" ht="7.5" customHeight="1">
      <c r="B85" s="4"/>
      <c r="C85" s="97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98"/>
      <c r="O85" s="97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98"/>
      <c r="AA85" s="127"/>
      <c r="AB85" s="128"/>
      <c r="AC85" s="128"/>
      <c r="AD85" s="129"/>
      <c r="AE85" s="97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98"/>
      <c r="AR85" s="97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98"/>
      <c r="BI85" s="5"/>
    </row>
    <row r="86" spans="2:61" ht="7.5" customHeight="1">
      <c r="B86" s="4"/>
      <c r="C86" s="99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00"/>
      <c r="O86" s="99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00"/>
      <c r="AA86" s="130"/>
      <c r="AB86" s="131"/>
      <c r="AC86" s="131"/>
      <c r="AD86" s="132"/>
      <c r="AE86" s="99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00"/>
      <c r="AR86" s="99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00"/>
      <c r="BI86" s="5"/>
    </row>
    <row r="87" spans="2:61" ht="7.5" customHeight="1">
      <c r="B87" s="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22"/>
    </row>
    <row r="88" spans="2:61" ht="7.5" customHeight="1">
      <c r="B88" s="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22"/>
    </row>
    <row r="89" spans="2:61" ht="7.5" customHeight="1">
      <c r="B89" s="4"/>
      <c r="C89" s="11" t="s">
        <v>23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6"/>
      <c r="AB89" s="16"/>
      <c r="AC89" s="16"/>
      <c r="AD89" s="16"/>
      <c r="AE89" s="11" t="s">
        <v>82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6"/>
      <c r="BC89" s="16"/>
      <c r="BD89" s="16"/>
      <c r="BE89" s="16"/>
      <c r="BF89" s="16"/>
      <c r="BG89" s="16"/>
      <c r="BH89" s="16"/>
      <c r="BI89" s="22"/>
    </row>
    <row r="90" spans="2:61" ht="7.5" customHeight="1">
      <c r="B90" s="4"/>
      <c r="C90" s="1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0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22"/>
    </row>
    <row r="91" spans="2:61" ht="7.5" customHeight="1">
      <c r="B91" s="4"/>
      <c r="C91" s="23" t="s">
        <v>24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 t="s">
        <v>85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6"/>
      <c r="BC91" s="16"/>
      <c r="BD91" s="16"/>
      <c r="BE91" s="16"/>
      <c r="BF91" s="16"/>
      <c r="BG91" s="16"/>
      <c r="BH91" s="16"/>
      <c r="BI91" s="22"/>
    </row>
    <row r="92" spans="2:61" ht="7.5" customHeight="1">
      <c r="B92" s="4"/>
      <c r="C92" s="23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 t="s">
        <v>84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6"/>
      <c r="BC92" s="16"/>
      <c r="BD92" s="16"/>
      <c r="BE92" s="16"/>
      <c r="BF92" s="16"/>
      <c r="BG92" s="16"/>
      <c r="BH92" s="16"/>
      <c r="BI92" s="22"/>
    </row>
    <row r="93" spans="2:61" ht="7.5" customHeight="1"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22"/>
    </row>
    <row r="94" spans="2:61" ht="7.5" customHeight="1"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 t="s">
        <v>25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6"/>
      <c r="BC94" s="16"/>
      <c r="BD94" s="16"/>
      <c r="BE94" s="16"/>
      <c r="BF94" s="16"/>
      <c r="BG94" s="16"/>
      <c r="BH94" s="16"/>
      <c r="BI94" s="22"/>
    </row>
    <row r="95" spans="2:61" ht="7.5" customHeight="1"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 t="s">
        <v>26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6"/>
      <c r="BC95" s="16"/>
      <c r="BD95" s="16"/>
      <c r="BE95" s="16"/>
      <c r="BF95" s="16"/>
      <c r="BG95" s="16"/>
      <c r="BH95" s="16"/>
      <c r="BI95" s="22"/>
    </row>
    <row r="96" spans="2:61" ht="7.5" customHeight="1"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22"/>
    </row>
    <row r="97" spans="2:61" ht="7.5" customHeight="1"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22"/>
    </row>
    <row r="98" spans="2:61" ht="7.5" customHeight="1"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22"/>
    </row>
    <row r="99" spans="2:61" s="8" customFormat="1" ht="7.5" customHeight="1">
      <c r="B99" s="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24"/>
    </row>
    <row r="100" spans="2:61" s="8" customFormat="1" ht="7.5" customHeight="1">
      <c r="B100" s="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24"/>
    </row>
    <row r="101" spans="2:61" s="8" customFormat="1" ht="7.5" customHeight="1">
      <c r="B101" s="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24"/>
    </row>
    <row r="102" spans="2:61" s="8" customFormat="1" ht="7.5" customHeight="1">
      <c r="B102" s="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24"/>
    </row>
    <row r="103" spans="2:61" s="8" customFormat="1" ht="7.5" customHeight="1">
      <c r="B103" s="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24"/>
    </row>
    <row r="104" spans="2:61" s="8" customFormat="1" ht="7.5" customHeight="1">
      <c r="B104" s="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24"/>
    </row>
    <row r="105" spans="2:61" ht="7.5" customHeight="1" thickBot="1">
      <c r="B105" s="9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6"/>
    </row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</sheetData>
  <sheetProtection/>
  <mergeCells count="89">
    <mergeCell ref="AR91:BA92"/>
    <mergeCell ref="AR94:BA95"/>
    <mergeCell ref="AH40:AK42"/>
    <mergeCell ref="L31:BH32"/>
    <mergeCell ref="AL33:BH35"/>
    <mergeCell ref="S57:W59"/>
    <mergeCell ref="AH57:AK59"/>
    <mergeCell ref="X57:AG59"/>
    <mergeCell ref="S76:BH78"/>
    <mergeCell ref="N80:AC81"/>
    <mergeCell ref="O89:Z89"/>
    <mergeCell ref="AR89:BA89"/>
    <mergeCell ref="C70:K71"/>
    <mergeCell ref="L70:BH71"/>
    <mergeCell ref="C72:Q75"/>
    <mergeCell ref="R72:BH75"/>
    <mergeCell ref="AE80:AM81"/>
    <mergeCell ref="AE85:AQ86"/>
    <mergeCell ref="AR85:BH86"/>
    <mergeCell ref="B1:BI1"/>
    <mergeCell ref="AY3:BH3"/>
    <mergeCell ref="W4:BH4"/>
    <mergeCell ref="AK7:AM9"/>
    <mergeCell ref="AN7:AU9"/>
    <mergeCell ref="W5:BH5"/>
    <mergeCell ref="BG7:BH9"/>
    <mergeCell ref="AV7:AY9"/>
    <mergeCell ref="C10:J14"/>
    <mergeCell ref="L10:BH15"/>
    <mergeCell ref="AZ7:BA9"/>
    <mergeCell ref="BB7:BF9"/>
    <mergeCell ref="C7:O9"/>
    <mergeCell ref="P7:AJ9"/>
    <mergeCell ref="BC53:BH54"/>
    <mergeCell ref="C19:I21"/>
    <mergeCell ref="AL16:AO18"/>
    <mergeCell ref="L19:BH22"/>
    <mergeCell ref="AU16:BH18"/>
    <mergeCell ref="AP16:AT18"/>
    <mergeCell ref="AF16:AK18"/>
    <mergeCell ref="AL23:BH25"/>
    <mergeCell ref="AH23:AK25"/>
    <mergeCell ref="AR82:BH84"/>
    <mergeCell ref="C76:R77"/>
    <mergeCell ref="C60:BH61"/>
    <mergeCell ref="BC55:BH56"/>
    <mergeCell ref="AC55:AO56"/>
    <mergeCell ref="AP55:BB56"/>
    <mergeCell ref="AN80:BH81"/>
    <mergeCell ref="AP53:BB54"/>
    <mergeCell ref="AH33:AK35"/>
    <mergeCell ref="L36:BH39"/>
    <mergeCell ref="M43:BH52"/>
    <mergeCell ref="P53:AB54"/>
    <mergeCell ref="C82:N84"/>
    <mergeCell ref="O82:Z84"/>
    <mergeCell ref="AA82:AD84"/>
    <mergeCell ref="C80:M81"/>
    <mergeCell ref="AE82:AQ84"/>
    <mergeCell ref="C85:N86"/>
    <mergeCell ref="O85:Z86"/>
    <mergeCell ref="AA85:AD86"/>
    <mergeCell ref="C67:H69"/>
    <mergeCell ref="C26:K27"/>
    <mergeCell ref="L26:BH27"/>
    <mergeCell ref="AH28:AK30"/>
    <mergeCell ref="AL28:BH30"/>
    <mergeCell ref="C36:I37"/>
    <mergeCell ref="AL40:BH42"/>
    <mergeCell ref="C31:K32"/>
    <mergeCell ref="C57:R58"/>
    <mergeCell ref="C43:L44"/>
    <mergeCell ref="AC53:AO54"/>
    <mergeCell ref="C53:O54"/>
    <mergeCell ref="C55:O56"/>
    <mergeCell ref="I67:BH69"/>
    <mergeCell ref="Y62:Z63"/>
    <mergeCell ref="AA62:AN63"/>
    <mergeCell ref="C64:P66"/>
    <mergeCell ref="Q64:BH66"/>
    <mergeCell ref="R62:S63"/>
    <mergeCell ref="T62:U63"/>
    <mergeCell ref="V62:X63"/>
    <mergeCell ref="C62:M63"/>
    <mergeCell ref="N62:O63"/>
    <mergeCell ref="P62:Q63"/>
    <mergeCell ref="P55:AB56"/>
    <mergeCell ref="AO62:BH63"/>
    <mergeCell ref="AL57:BH59"/>
  </mergeCells>
  <dataValidations count="1">
    <dataValidation type="list" allowBlank="1" showInputMessage="1" showErrorMessage="1" sqref="DM6">
      <formula1>$BP$13:$BP$20</formula1>
    </dataValidation>
  </dataValidation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93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49" s="71" customFormat="1" ht="12.75"/>
    <row r="50" s="72" customFormat="1" ht="12.75"/>
    <row r="51" s="72" customFormat="1" ht="12.75"/>
    <row r="52" s="72" customFormat="1" ht="12" customHeight="1"/>
    <row r="53" s="72" customFormat="1" ht="12" customHeight="1">
      <c r="I53" s="73"/>
    </row>
    <row r="54" spans="4:48" s="74" customFormat="1" ht="12" customHeight="1">
      <c r="D54" s="74">
        <f>IF(D57&lt;=D58,"",MID(I71,D55+1,90))</f>
      </c>
      <c r="I54" s="75">
        <f>INT(J54)</f>
        <v>145</v>
      </c>
      <c r="J54" s="76">
        <f>'Платежное поручение'!AU16</f>
        <v>145.88</v>
      </c>
      <c r="P54" s="74">
        <f>IF(P57&lt;=P58,"",MID(U71,P55+1,90))</f>
      </c>
      <c r="U54" s="75">
        <f>INT(V54)</f>
        <v>145</v>
      </c>
      <c r="V54" s="75">
        <f>'Платежное поручение'!AU16</f>
        <v>145.88</v>
      </c>
      <c r="AC54" s="74">
        <f>IF(AC57&lt;=AC58,"",MID(AH71,AC55+1,90))</f>
      </c>
      <c r="AH54" s="76">
        <f>INT(AI54)</f>
        <v>145</v>
      </c>
      <c r="AI54" s="75">
        <f>'Платежное поручение'!AU16</f>
        <v>145.88</v>
      </c>
      <c r="AP54" s="74">
        <f>IF(AP57&lt;=AP58,"",MID(AU71,AP55+1,90))</f>
      </c>
      <c r="AU54" s="76">
        <f>INT(AV54)</f>
        <v>145</v>
      </c>
      <c r="AV54" s="76">
        <f>'Платежное поручение'!AU16</f>
        <v>145.88</v>
      </c>
    </row>
    <row r="55" spans="4:48" s="74" customFormat="1" ht="12" customHeight="1">
      <c r="D55" s="74" t="e">
        <f>FIND(" ",I71,80)</f>
        <v>#VALUE!</v>
      </c>
      <c r="H55" s="74">
        <v>1</v>
      </c>
      <c r="I55" s="77">
        <f>I54-INT(I54/10)*10</f>
        <v>5</v>
      </c>
      <c r="J55" s="75">
        <f>ROUND((J54-I54)*100,0)</f>
        <v>88</v>
      </c>
      <c r="P55" s="74" t="e">
        <f>FIND(" ",U71,80)</f>
        <v>#VALUE!</v>
      </c>
      <c r="T55" s="74">
        <v>1</v>
      </c>
      <c r="U55" s="77">
        <f>U54-INT(U54/10)*10</f>
        <v>5</v>
      </c>
      <c r="V55" s="75">
        <f>ROUND((V54-U54)*100,0)</f>
        <v>88</v>
      </c>
      <c r="AC55" s="74" t="e">
        <f>FIND(" ",AH71,80)</f>
        <v>#VALUE!</v>
      </c>
      <c r="AG55" s="74">
        <v>1</v>
      </c>
      <c r="AH55" s="77">
        <f>AH54-INT(AH54/10)*10</f>
        <v>5</v>
      </c>
      <c r="AI55" s="75">
        <f>ROUND((AI54-AH54)*100,0)</f>
        <v>88</v>
      </c>
      <c r="AP55" s="74" t="e">
        <f>FIND(" ",AU71,80)</f>
        <v>#VALUE!</v>
      </c>
      <c r="AT55" s="74">
        <v>1</v>
      </c>
      <c r="AU55" s="77">
        <f>AU54-INT(AU54/10)*10</f>
        <v>5</v>
      </c>
      <c r="AV55" s="75">
        <f>ROUND((AV54-AU54)*100,0)</f>
        <v>88</v>
      </c>
    </row>
    <row r="56" spans="4:48" s="74" customFormat="1" ht="12" customHeight="1">
      <c r="D56" s="74" t="str">
        <f>IF(D57&gt;D58,LEFT(I71,D55-1),LEFT(I71,90))</f>
        <v> Сто сорок пять белорусских рублей, 88 копеек</v>
      </c>
      <c r="H56" s="74">
        <v>2</v>
      </c>
      <c r="I56" s="78">
        <f>IF(AND(I55+I57&gt;=11,I55+I57&lt;=19),I55+I57,0)</f>
        <v>0</v>
      </c>
      <c r="J56" s="78">
        <f>INT(J55)</f>
        <v>88</v>
      </c>
      <c r="P56" s="74" t="str">
        <f>IF(P57&gt;P58,LEFT(U71,P55-1),LEFT(U71,90))</f>
        <v> Сто сорок пять российских рублей, 88 копеек</v>
      </c>
      <c r="T56" s="74">
        <v>2</v>
      </c>
      <c r="U56" s="78">
        <f>IF(AND(U55+U57&gt;=11,U55+U57&lt;=19),U55+U57,0)</f>
        <v>0</v>
      </c>
      <c r="V56" s="78">
        <f>INT(V55)</f>
        <v>88</v>
      </c>
      <c r="AC56" s="74" t="str">
        <f>IF(AC57&gt;AC58,LEFT(AH71,AC55-1),LEFT(AH71,90))</f>
        <v> Сто сорок пять долларов, 88 центов</v>
      </c>
      <c r="AG56" s="74">
        <v>2</v>
      </c>
      <c r="AH56" s="78">
        <f>IF(AND(AH55+AH57&gt;=11,AH55+AH57&lt;=19),AH55+AH57,0)</f>
        <v>0</v>
      </c>
      <c r="AI56" s="78">
        <f>INT(AI55)</f>
        <v>88</v>
      </c>
      <c r="AP56" s="74" t="str">
        <f>IF(AP57&gt;AP58,LEFT(AU71,AP55-1),LEFT(AU71,90))</f>
        <v> Сто сорок пять евро, 88 евроцентов</v>
      </c>
      <c r="AT56" s="74">
        <v>2</v>
      </c>
      <c r="AU56" s="78">
        <f>IF(AND(AU55+AU57&gt;=11,AU55+AU57&lt;=19),AU55+AU57,0)</f>
        <v>0</v>
      </c>
      <c r="AV56" s="78">
        <f>INT(AV55)</f>
        <v>88</v>
      </c>
    </row>
    <row r="57" spans="4:48" s="74" customFormat="1" ht="12" customHeight="1">
      <c r="D57" s="74">
        <f>LEN(I71)</f>
        <v>45</v>
      </c>
      <c r="H57" s="74">
        <v>3</v>
      </c>
      <c r="I57" s="78">
        <f>I54-INT(I54/100)*100-I55</f>
        <v>40</v>
      </c>
      <c r="J57" s="78">
        <f>IF(J56=0,"",J56-INT(J56/10)*10)</f>
        <v>8</v>
      </c>
      <c r="P57" s="74">
        <f>LEN(U71)</f>
        <v>44</v>
      </c>
      <c r="T57" s="74">
        <v>3</v>
      </c>
      <c r="U57" s="78">
        <f>U54-INT(U54/100)*100-U55</f>
        <v>40</v>
      </c>
      <c r="V57" s="78">
        <f>IF(V56=0,"",V56-INT(V56/10)*10)</f>
        <v>8</v>
      </c>
      <c r="AC57" s="74">
        <f>LEN(AH71)</f>
        <v>35</v>
      </c>
      <c r="AG57" s="74">
        <v>3</v>
      </c>
      <c r="AH57" s="78">
        <f>AH54-INT(AH54/100)*100-AH55</f>
        <v>40</v>
      </c>
      <c r="AI57" s="78">
        <f>IF(AI56=0,"",AI56-INT(AI56/10)*10)</f>
        <v>8</v>
      </c>
      <c r="AP57" s="74">
        <f>LEN(AU71)</f>
        <v>35</v>
      </c>
      <c r="AT57" s="74">
        <v>3</v>
      </c>
      <c r="AU57" s="78">
        <f>AU54-INT(AU54/100)*100-AU55</f>
        <v>40</v>
      </c>
      <c r="AV57" s="78">
        <f>IF(AV56=0,"",AV56-INT(AV56/10)*10)</f>
        <v>8</v>
      </c>
    </row>
    <row r="58" spans="4:50" s="74" customFormat="1" ht="12" customHeight="1">
      <c r="D58" s="74">
        <v>90</v>
      </c>
      <c r="H58" s="74">
        <v>4</v>
      </c>
      <c r="I58" s="78">
        <f>I54-INT(I54/1000)*1000-I57-I55</f>
        <v>100</v>
      </c>
      <c r="J58" s="79">
        <f>IF(J56=0,"",J56)</f>
        <v>88</v>
      </c>
      <c r="K58" s="74">
        <v>0</v>
      </c>
      <c r="L58" s="74" t="s">
        <v>86</v>
      </c>
      <c r="P58" s="74">
        <v>90</v>
      </c>
      <c r="T58" s="74">
        <v>4</v>
      </c>
      <c r="U58" s="78">
        <f>U54-INT(U54/1000)*1000-U57-U55</f>
        <v>100</v>
      </c>
      <c r="V58" s="79">
        <f>IF(V56=0,"",V56)</f>
        <v>88</v>
      </c>
      <c r="W58" s="74">
        <v>0</v>
      </c>
      <c r="X58" s="74" t="s">
        <v>86</v>
      </c>
      <c r="AC58" s="74">
        <v>90</v>
      </c>
      <c r="AG58" s="74">
        <v>4</v>
      </c>
      <c r="AH58" s="78">
        <f>AH54-INT(AH54/1000)*1000-AH57-AH55</f>
        <v>100</v>
      </c>
      <c r="AI58" s="79">
        <f>IF(AI56=0,"",AI56)</f>
        <v>88</v>
      </c>
      <c r="AJ58" s="74">
        <v>0</v>
      </c>
      <c r="AK58" s="74" t="s">
        <v>86</v>
      </c>
      <c r="AP58" s="74">
        <v>90</v>
      </c>
      <c r="AT58" s="74">
        <v>4</v>
      </c>
      <c r="AU58" s="78">
        <f>AU54-INT(AU54/1000)*1000-AU57-AU55</f>
        <v>100</v>
      </c>
      <c r="AV58" s="79">
        <f>IF(AV56=0,"",AV56)</f>
        <v>88</v>
      </c>
      <c r="AW58" s="74">
        <v>0</v>
      </c>
      <c r="AX58" s="74" t="s">
        <v>86</v>
      </c>
    </row>
    <row r="59" spans="8:48" s="74" customFormat="1" ht="12" customHeight="1">
      <c r="H59" s="74">
        <v>5</v>
      </c>
      <c r="I59" s="78">
        <f>I54-INT(I54/10000)*10000-I57-I55-I58</f>
        <v>0</v>
      </c>
      <c r="J59" s="74">
        <f>I59/1000</f>
        <v>0</v>
      </c>
      <c r="T59" s="74">
        <v>5</v>
      </c>
      <c r="U59" s="78">
        <f>U54-INT(U54/10000)*10000-U57-U55-U58</f>
        <v>0</v>
      </c>
      <c r="V59" s="74">
        <f>U59/1000</f>
        <v>0</v>
      </c>
      <c r="AG59" s="74">
        <v>5</v>
      </c>
      <c r="AH59" s="78">
        <f>AH54-INT(AH54/10000)*10000-AH57-AH55-AH58</f>
        <v>0</v>
      </c>
      <c r="AI59" s="74">
        <f>AH59/1000</f>
        <v>0</v>
      </c>
      <c r="AT59" s="74">
        <v>5</v>
      </c>
      <c r="AU59" s="78">
        <f>AU54-INT(AU54/10000)*10000-AU57-AU55-AU58</f>
        <v>0</v>
      </c>
      <c r="AV59" s="74">
        <f>AU59/1000</f>
        <v>0</v>
      </c>
    </row>
    <row r="60" spans="8:48" s="74" customFormat="1" ht="12" customHeight="1">
      <c r="H60" s="74">
        <v>6</v>
      </c>
      <c r="J60" s="78">
        <f>IF(AND(J59+J61&gt;=11,J59+J61&lt;=19),J59+J61,0)</f>
        <v>0</v>
      </c>
      <c r="T60" s="74">
        <v>6</v>
      </c>
      <c r="V60" s="78">
        <f>IF(AND(V59+V61&gt;=11,V59+V61&lt;=19),V59+V61,0)</f>
        <v>0</v>
      </c>
      <c r="AG60" s="74">
        <v>6</v>
      </c>
      <c r="AI60" s="78">
        <f>IF(AND(AI59+AI61&gt;=11,AI59+AI61&lt;=19),AI59+AI61,0)</f>
        <v>0</v>
      </c>
      <c r="AT60" s="74">
        <v>6</v>
      </c>
      <c r="AV60" s="78">
        <f>IF(AND(AV59+AV61&gt;=11,AV59+AV61&lt;=19),AV59+AV61,0)</f>
        <v>0</v>
      </c>
    </row>
    <row r="61" spans="8:48" s="74" customFormat="1" ht="12" customHeight="1">
      <c r="H61" s="74">
        <v>7</v>
      </c>
      <c r="I61" s="78">
        <f>I54-INT(I54/100000)*100000-I57-I55-I58-I59</f>
        <v>0</v>
      </c>
      <c r="J61" s="74">
        <f>I61/1000</f>
        <v>0</v>
      </c>
      <c r="T61" s="74">
        <v>7</v>
      </c>
      <c r="U61" s="78">
        <f>U54-INT(U54/100000)*100000-U57-U55-U58-U59</f>
        <v>0</v>
      </c>
      <c r="V61" s="74">
        <f>U61/1000</f>
        <v>0</v>
      </c>
      <c r="AG61" s="74">
        <v>7</v>
      </c>
      <c r="AH61" s="78">
        <f>AH54-INT(AH54/100000)*100000-AH57-AH55-AH58-AH59</f>
        <v>0</v>
      </c>
      <c r="AI61" s="74">
        <f>AH61/1000</f>
        <v>0</v>
      </c>
      <c r="AT61" s="74">
        <v>7</v>
      </c>
      <c r="AU61" s="78">
        <f>AU54-INT(AU54/100000)*100000-AU57-AU55-AU58-AU59</f>
        <v>0</v>
      </c>
      <c r="AV61" s="74">
        <f>AU61/1000</f>
        <v>0</v>
      </c>
    </row>
    <row r="62" spans="8:48" s="74" customFormat="1" ht="12" customHeight="1">
      <c r="H62" s="74">
        <v>8</v>
      </c>
      <c r="I62" s="78">
        <f>I54-INT(I54/1000000)*1000000-I57-I55-I58-I59-I61</f>
        <v>0</v>
      </c>
      <c r="J62" s="74">
        <f>I62/1000</f>
        <v>0</v>
      </c>
      <c r="T62" s="74">
        <v>8</v>
      </c>
      <c r="U62" s="78">
        <f>U54-INT(U54/1000000)*1000000-U57-U55-U58-U59-U61</f>
        <v>0</v>
      </c>
      <c r="V62" s="74">
        <f>U62/1000</f>
        <v>0</v>
      </c>
      <c r="AG62" s="74">
        <v>8</v>
      </c>
      <c r="AH62" s="78">
        <f>AH54-INT(AH54/1000000)*1000000-AH57-AH55-AH58-AH59-AH61</f>
        <v>0</v>
      </c>
      <c r="AI62" s="74">
        <f>AH62/1000</f>
        <v>0</v>
      </c>
      <c r="AT62" s="74">
        <v>8</v>
      </c>
      <c r="AU62" s="78">
        <f>AU54-INT(AU54/1000000)*1000000-AU57-AU55-AU58-AU59-AU61</f>
        <v>0</v>
      </c>
      <c r="AV62" s="74">
        <f>AU62/1000</f>
        <v>0</v>
      </c>
    </row>
    <row r="63" spans="8:48" s="74" customFormat="1" ht="12" customHeight="1">
      <c r="H63" s="74">
        <v>9</v>
      </c>
      <c r="I63" s="78">
        <f>I54-INT(I54/10000000)*10000000-I57-I55-I58-I59-I61-I62</f>
        <v>0</v>
      </c>
      <c r="J63" s="74">
        <f>I63/1000000</f>
        <v>0</v>
      </c>
      <c r="T63" s="74">
        <v>9</v>
      </c>
      <c r="U63" s="78">
        <f>U54-INT(U54/10000000)*10000000-U57-U55-U58-U59-U61-U62</f>
        <v>0</v>
      </c>
      <c r="V63" s="74">
        <f>U63/1000000</f>
        <v>0</v>
      </c>
      <c r="AG63" s="74">
        <v>9</v>
      </c>
      <c r="AH63" s="78">
        <f>AH54-INT(AH54/10000000)*10000000-AH57-AH55-AH58-AH59-AH61-AH62</f>
        <v>0</v>
      </c>
      <c r="AI63" s="74">
        <f>AH63/1000000</f>
        <v>0</v>
      </c>
      <c r="AT63" s="74">
        <v>9</v>
      </c>
      <c r="AU63" s="78">
        <f>AU54-INT(AU54/10000000)*10000000-AU57-AU55-AU58-AU59-AU61-AU62</f>
        <v>0</v>
      </c>
      <c r="AV63" s="74">
        <f>AU63/1000000</f>
        <v>0</v>
      </c>
    </row>
    <row r="64" spans="8:48" s="74" customFormat="1" ht="12" customHeight="1">
      <c r="H64" s="74">
        <v>10</v>
      </c>
      <c r="J64" s="78">
        <f>IF(AND(J63+J65&gt;=11,J63+J65&lt;=19),J63+J65,0)</f>
        <v>0</v>
      </c>
      <c r="T64" s="74">
        <v>10</v>
      </c>
      <c r="V64" s="78">
        <f>IF(AND(V63+V65&gt;=11,V63+V65&lt;=19),V63+V65,0)</f>
        <v>0</v>
      </c>
      <c r="AG64" s="74">
        <v>10</v>
      </c>
      <c r="AI64" s="78">
        <f>IF(AND(AI63+AI65&gt;=11,AI63+AI65&lt;=19),AI63+AI65,0)</f>
        <v>0</v>
      </c>
      <c r="AT64" s="74">
        <v>10</v>
      </c>
      <c r="AV64" s="78">
        <f>IF(AND(AV63+AV65&gt;=11,AV63+AV65&lt;=19),AV63+AV65,0)</f>
        <v>0</v>
      </c>
    </row>
    <row r="65" spans="8:48" s="74" customFormat="1" ht="12" customHeight="1">
      <c r="H65" s="74">
        <v>11</v>
      </c>
      <c r="I65" s="78">
        <f>I54-INT(I54/100000000)*100000000-I57-I55-I58-I59-I61-I62-I63</f>
        <v>0</v>
      </c>
      <c r="J65" s="74">
        <f>I65/1000000</f>
        <v>0</v>
      </c>
      <c r="T65" s="74">
        <v>11</v>
      </c>
      <c r="U65" s="78">
        <f>U54-INT(U54/100000000)*100000000-U57-U55-U58-U59-U61-U62-U63</f>
        <v>0</v>
      </c>
      <c r="V65" s="74">
        <f>U65/1000000</f>
        <v>0</v>
      </c>
      <c r="AG65" s="74">
        <v>11</v>
      </c>
      <c r="AH65" s="78">
        <f>AH54-INT(AH54/100000000)*100000000-AH57-AH55-AH58-AH59-AH61-AH62-AH63</f>
        <v>0</v>
      </c>
      <c r="AI65" s="74">
        <f>AH65/1000000</f>
        <v>0</v>
      </c>
      <c r="AT65" s="74">
        <v>11</v>
      </c>
      <c r="AU65" s="78">
        <f>AU54-INT(AU54/100000000)*100000000-AU57-AU55-AU58-AU59-AU61-AU62-AU63</f>
        <v>0</v>
      </c>
      <c r="AV65" s="74">
        <f>AU65/1000000</f>
        <v>0</v>
      </c>
    </row>
    <row r="66" spans="8:48" s="74" customFormat="1" ht="12" customHeight="1">
      <c r="H66" s="74">
        <v>12</v>
      </c>
      <c r="I66" s="78">
        <f>I54-INT(I54/1000000000)*1000000000-I57-I55-I58-I59-I61-I62-I63-I65</f>
        <v>0</v>
      </c>
      <c r="J66" s="74">
        <f>I66/1000000</f>
        <v>0</v>
      </c>
      <c r="T66" s="74">
        <v>12</v>
      </c>
      <c r="U66" s="78">
        <f>U54-INT(U54/1000000000)*1000000000-U57-U55-U58-U59-U61-U62-U63-U65</f>
        <v>0</v>
      </c>
      <c r="V66" s="74">
        <f>U66/1000000</f>
        <v>0</v>
      </c>
      <c r="AG66" s="74">
        <v>12</v>
      </c>
      <c r="AH66" s="78">
        <f>AH54-INT(AH54/1000000000)*1000000000-AH57-AH55-AH58-AH59-AH61-AH62-AH63-AH65</f>
        <v>0</v>
      </c>
      <c r="AI66" s="74">
        <f>AH66/1000000</f>
        <v>0</v>
      </c>
      <c r="AT66" s="74">
        <v>12</v>
      </c>
      <c r="AU66" s="78">
        <f>AU54-INT(AU54/1000000000)*1000000000-AU57-AU55-AU58-AU59-AU61-AU62-AU63-AU65</f>
        <v>0</v>
      </c>
      <c r="AV66" s="74">
        <f>AU66/1000000</f>
        <v>0</v>
      </c>
    </row>
    <row r="67" spans="8:48" s="74" customFormat="1" ht="12" customHeight="1">
      <c r="H67" s="74">
        <v>13</v>
      </c>
      <c r="I67" s="78">
        <f>I54-INT(I54/10000000000)*10000000000-I57-I55-I58-I59-I61-I62-I63-I65-I66</f>
        <v>0</v>
      </c>
      <c r="J67" s="74">
        <f>I67/1000000000</f>
        <v>0</v>
      </c>
      <c r="T67" s="74">
        <v>13</v>
      </c>
      <c r="U67" s="78">
        <f>U54-INT(U54/10000000000)*10000000000-U57-U55-U58-U59-U61-U62-U63-U65-U66</f>
        <v>0</v>
      </c>
      <c r="V67" s="74">
        <f>U67/1000000000</f>
        <v>0</v>
      </c>
      <c r="AG67" s="74">
        <v>13</v>
      </c>
      <c r="AH67" s="78">
        <f>AH54-INT(AH54/10000000000)*10000000000-AH57-AH55-AH58-AH59-AH61-AH62-AH63-AH65-AH66</f>
        <v>0</v>
      </c>
      <c r="AI67" s="74">
        <f>AH67/1000000000</f>
        <v>0</v>
      </c>
      <c r="AT67" s="74">
        <v>13</v>
      </c>
      <c r="AU67" s="78">
        <f>AU54-INT(AU54/10000000000)*10000000000-AU57-AU55-AU58-AU59-AU61-AU62-AU63-AU65-AU66</f>
        <v>0</v>
      </c>
      <c r="AV67" s="74">
        <f>AU67/1000000000</f>
        <v>0</v>
      </c>
    </row>
    <row r="68" spans="8:48" s="74" customFormat="1" ht="12" customHeight="1">
      <c r="H68" s="74">
        <v>14</v>
      </c>
      <c r="I68" s="78"/>
      <c r="J68" s="78">
        <f>IF(AND(J67+J69&gt;=11,J67+J69&lt;=19),J67+J69,0)</f>
        <v>0</v>
      </c>
      <c r="T68" s="74">
        <v>14</v>
      </c>
      <c r="U68" s="78"/>
      <c r="V68" s="78">
        <f>IF(AND(V67+V69&gt;=11,V67+V69&lt;=19),V67+V69,0)</f>
        <v>0</v>
      </c>
      <c r="AG68" s="74">
        <v>14</v>
      </c>
      <c r="AH68" s="78"/>
      <c r="AI68" s="78">
        <f>IF(AND(AI67+AI69&gt;=11,AI67+AI69&lt;=19),AI67+AI69,0)</f>
        <v>0</v>
      </c>
      <c r="AT68" s="74">
        <v>14</v>
      </c>
      <c r="AU68" s="78"/>
      <c r="AV68" s="78">
        <f>IF(AND(AV67+AV69&gt;=11,AV67+AV69&lt;=19),AV67+AV69,0)</f>
        <v>0</v>
      </c>
    </row>
    <row r="69" spans="8:48" s="74" customFormat="1" ht="12" customHeight="1">
      <c r="H69" s="74">
        <v>15</v>
      </c>
      <c r="I69" s="78">
        <f>I54-INT(I54/100000000000)*100000000000-I57-I55-I58-I59-I61-I62-I63-I65-I66-I67</f>
        <v>0</v>
      </c>
      <c r="J69" s="74">
        <f>I69/1000000000</f>
        <v>0</v>
      </c>
      <c r="T69" s="74">
        <v>15</v>
      </c>
      <c r="U69" s="78">
        <f>U54-INT(U54/100000000000)*100000000000-U57-U55-U58-U59-U61-U62-U63-U65-U66-U67</f>
        <v>0</v>
      </c>
      <c r="V69" s="74">
        <f>U69/1000000000</f>
        <v>0</v>
      </c>
      <c r="AG69" s="74">
        <v>15</v>
      </c>
      <c r="AH69" s="78">
        <f>AH54-INT(AH54/100000000000)*100000000000-AH57-AH55-AH58-AH59-AH61-AH62-AH63-AH65-AH66-AH67</f>
        <v>0</v>
      </c>
      <c r="AI69" s="74">
        <f>AH69/1000000000</f>
        <v>0</v>
      </c>
      <c r="AT69" s="74">
        <v>15</v>
      </c>
      <c r="AU69" s="78">
        <f>AU54-INT(AU54/100000000000)*100000000000-AU57-AU55-AU58-AU59-AU61-AU62-AU63-AU65-AU66-AU67</f>
        <v>0</v>
      </c>
      <c r="AV69" s="74">
        <f>AU69/1000000000</f>
        <v>0</v>
      </c>
    </row>
    <row r="70" spans="8:48" s="74" customFormat="1" ht="12" customHeight="1">
      <c r="H70" s="74">
        <v>16</v>
      </c>
      <c r="I70" s="78">
        <f>I54-INT(I54/1000000000000)*1000000000000-I57-I55-I58-I59-I61-I62-I63-I65-I66-I67-I69</f>
        <v>0</v>
      </c>
      <c r="J70" s="74">
        <f>I70/1000000000</f>
        <v>0</v>
      </c>
      <c r="T70" s="74">
        <v>16</v>
      </c>
      <c r="U70" s="78">
        <f>U54-INT(U54/1000000000000)*1000000000000-U57-U55-U58-U59-U61-U62-U63-U65-U66-U67-U69</f>
        <v>0</v>
      </c>
      <c r="V70" s="74">
        <f>U70/1000000000</f>
        <v>0</v>
      </c>
      <c r="AG70" s="74">
        <v>16</v>
      </c>
      <c r="AH70" s="78">
        <f>AH54-INT(AH54/1000000000000)*1000000000000-AH57-AH55-AH58-AH59-AH61-AH62-AH63-AH65-AH66-AH67-AH69</f>
        <v>0</v>
      </c>
      <c r="AI70" s="74">
        <f>AH70/1000000000</f>
        <v>0</v>
      </c>
      <c r="AT70" s="74">
        <v>16</v>
      </c>
      <c r="AU70" s="78">
        <f>AU54-INT(AU54/1000000000000)*1000000000000-AU57-AU55-AU58-AU59-AU61-AU62-AU63-AU65-AU66-AU67-AU69</f>
        <v>0</v>
      </c>
      <c r="AV70" s="74">
        <f>AU70/1000000000</f>
        <v>0</v>
      </c>
    </row>
    <row r="71" spans="9:47" s="74" customFormat="1" ht="12" customHeight="1">
      <c r="I71" s="80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сорок пять белорусских рублей, 88 копеек</v>
      </c>
      <c r="U71" s="80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сорок пять российских рублей, 88 копеек</v>
      </c>
      <c r="AH71" s="80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сорок пять долларов, 88 центов</v>
      </c>
      <c r="AU71" s="80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сорок пять евро, 88 евроцентов</v>
      </c>
    </row>
    <row r="72" spans="1:49" s="74" customFormat="1" ht="12" customHeight="1">
      <c r="A72" s="81">
        <f>IF(AND(J56&gt;=11,J56&lt;=19),"",IF(J57=1,B72,""))</f>
      </c>
      <c r="B72" s="74" t="s">
        <v>87</v>
      </c>
      <c r="D72" s="81">
        <f>IF(I56&gt;0,"",IF(I55=1,E72,""))</f>
      </c>
      <c r="E72" s="82" t="s">
        <v>102</v>
      </c>
      <c r="G72" s="74" t="str">
        <f>IF(SUM(I56:I70)=0,PROPER(I72),I72)</f>
        <v> пять</v>
      </c>
      <c r="H72" s="74">
        <v>1</v>
      </c>
      <c r="I72" s="80" t="str">
        <f>IF(AND(I56&lt;20,I56&gt;10),"",J72&amp;K72)</f>
        <v> пять</v>
      </c>
      <c r="J72" s="74" t="str">
        <f>IF(I55=1," один",IF(I55=2," два",IF(I55=3," три",IF(I55=4," четыре",IF(I55=5," пять",IF(I55=6," шесть",IF(I55=7," семь","")))))))</f>
        <v> пять</v>
      </c>
      <c r="K72" s="74">
        <f>IF(I55=8," восемь",IF(I55=9," девять",""))</f>
      </c>
      <c r="N72" s="81">
        <f>IF(AND(V56&gt;=11,V56&lt;=19),"",IF(V57=1,O72,""))</f>
      </c>
      <c r="O72" s="74" t="s">
        <v>87</v>
      </c>
      <c r="P72" s="81">
        <f>IF(U56&gt;0,"",IF(U55=1,Q72,""))</f>
      </c>
      <c r="Q72" s="82" t="s">
        <v>104</v>
      </c>
      <c r="S72" s="74" t="str">
        <f>IF(SUM(U56:U70)=0,PROPER(U72),U72)</f>
        <v> пять</v>
      </c>
      <c r="T72" s="74">
        <v>1</v>
      </c>
      <c r="U72" s="80" t="str">
        <f>IF(AND(U56&lt;20,U56&gt;10),"",V72&amp;W72)</f>
        <v> пять</v>
      </c>
      <c r="V72" s="74" t="str">
        <f>IF(U55=1," один",IF(U55=2," два",IF(U55=3," три",IF(U55=4," четыре",IF(U55=5," пять",IF(U55=6," шесть",IF(U55=7," семь","")))))))</f>
        <v> пять</v>
      </c>
      <c r="W72" s="74">
        <f>IF(U55=8," восемь",IF(U55=9," девять",""))</f>
      </c>
      <c r="AA72" s="81">
        <f>IF(AND(AI56&gt;=11,AI56&lt;=19),"",IF(AI57=1,AB72,""))</f>
      </c>
      <c r="AB72" s="74" t="s">
        <v>88</v>
      </c>
      <c r="AC72" s="81">
        <f>IF(AH56&gt;0,"",IF(AH55=1,AD72,""))</f>
      </c>
      <c r="AD72" s="82" t="s">
        <v>106</v>
      </c>
      <c r="AF72" s="74" t="str">
        <f>IF(SUM(AH56:AH70)=0,PROPER(AH72),AH72)</f>
        <v> пять</v>
      </c>
      <c r="AG72" s="74">
        <v>1</v>
      </c>
      <c r="AH72" s="80" t="str">
        <f>IF(AND(AH56&lt;20,AH56&gt;10),"",AI72&amp;AJ72)</f>
        <v> пять</v>
      </c>
      <c r="AI72" s="74" t="str">
        <f>IF(AH55=1," один",IF(AH55=2," два",IF(AH55=3," три",IF(AH55=4," четыре",IF(AH55=5," пять",IF(AH55=6," шесть",IF(AH55=7," семь","")))))))</f>
        <v> пять</v>
      </c>
      <c r="AJ72" s="74">
        <f>IF(AH55=8," восемь",IF(AH55=9," девять",""))</f>
      </c>
      <c r="AN72" s="81">
        <f>IF(AND(AV56&gt;=11,AV56&lt;=19),"",IF(AV57=1,AO72,""))</f>
      </c>
      <c r="AO72" s="74" t="s">
        <v>89</v>
      </c>
      <c r="AP72" s="81"/>
      <c r="AQ72" s="82"/>
      <c r="AS72" s="74" t="str">
        <f>IF(SUM(AU56:AU70)=0,PROPER(AU72),AU72)</f>
        <v> пять</v>
      </c>
      <c r="AT72" s="74">
        <v>1</v>
      </c>
      <c r="AU72" s="80" t="str">
        <f>IF(AND(AU56&lt;20,AU56&gt;10),"",AV72&amp;AW72)</f>
        <v> пять</v>
      </c>
      <c r="AV72" s="74" t="str">
        <f>IF(AU55=1," один",IF(AU55=2," два",IF(AU55=3," три",IF(AU55=4," четыре",IF(AU55=5," пять",IF(AU55=6," шесть",IF(AU55=7," семь","")))))))</f>
        <v> пять</v>
      </c>
      <c r="AW72" s="74">
        <f>IF(AU55=8," восемь",IF(AU55=9," девять",""))</f>
      </c>
    </row>
    <row r="73" spans="1:49" s="74" customFormat="1" ht="12" customHeight="1">
      <c r="A73" s="83">
        <f>IF(AND(J56&gt;=11,J56&lt;=19),"",IF(OR(J57=2,J57=3,J57=4),B73,""))</f>
      </c>
      <c r="B73" s="74" t="s">
        <v>90</v>
      </c>
      <c r="D73" s="83">
        <f>IF(I56&gt;0,"",IF(OR(I55=2,I55=3,I55=4),E73,""))</f>
      </c>
      <c r="E73" s="84" t="s">
        <v>103</v>
      </c>
      <c r="G73" s="74">
        <f>IF(SUM(I58:I70)=0,PROPER(I73),I73)</f>
      </c>
      <c r="H73" s="74">
        <v>2</v>
      </c>
      <c r="I73" s="80">
        <f>J73&amp;K73</f>
      </c>
      <c r="J73" s="74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74">
        <f>IF(I56=18," восемнадцать",IF(I56=19," девятнадцать",""))</f>
      </c>
      <c r="N73" s="83">
        <f>IF(AND(V56&gt;=11,V56&lt;=19),"",IF(OR(V57=2,V57=3,V57=4),O73,""))</f>
      </c>
      <c r="O73" s="74" t="s">
        <v>90</v>
      </c>
      <c r="P73" s="83">
        <f>IF(U56&gt;0,"",IF(OR(U55=2,U55=3,U55=4),Q73,""))</f>
      </c>
      <c r="Q73" s="84" t="s">
        <v>105</v>
      </c>
      <c r="S73" s="74">
        <f>IF(SUM(U58:U70)=0,PROPER(U73),U73)</f>
      </c>
      <c r="T73" s="74">
        <v>2</v>
      </c>
      <c r="U73" s="80">
        <f>V73&amp;W73</f>
      </c>
      <c r="V73" s="74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74">
        <f>IF(U56=18," восемнадцать",IF(U56=19," девятнадцать",""))</f>
      </c>
      <c r="AA73" s="83">
        <f>IF(AND(AI56&gt;=11,AI56&lt;=19),"",IF(OR(AI57=2,AI57=3,AI57=4),AB73,""))</f>
      </c>
      <c r="AB73" s="74" t="s">
        <v>91</v>
      </c>
      <c r="AC73" s="83">
        <f>IF(AH56&gt;0,"",IF(OR(AH55=2,AH55=3,AH55=4),AD73,""))</f>
      </c>
      <c r="AD73" s="84" t="s">
        <v>107</v>
      </c>
      <c r="AF73" s="74">
        <f>IF(SUM(AH58:AH70)=0,PROPER(AH73),AH73)</f>
      </c>
      <c r="AG73" s="74">
        <v>2</v>
      </c>
      <c r="AH73" s="80">
        <f>AI73&amp;AJ73</f>
      </c>
      <c r="AI73" s="74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74">
        <f>IF(AH56=18," восемнадцать",IF(AH56=19," девятнадцать",""))</f>
      </c>
      <c r="AN73" s="83">
        <f>IF(AND(AV56&gt;=11,AV56&lt;=19),"",IF(OR(AV57=2,AV57=3,AV57=4),AO73,""))</f>
      </c>
      <c r="AO73" s="74" t="s">
        <v>92</v>
      </c>
      <c r="AP73" s="83"/>
      <c r="AQ73" s="84"/>
      <c r="AS73" s="74">
        <f>IF(SUM(AU58:AU70)=0,PROPER(AU73),AU73)</f>
      </c>
      <c r="AT73" s="74">
        <v>2</v>
      </c>
      <c r="AU73" s="80">
        <f>AV73&amp;AW73</f>
      </c>
      <c r="AV73" s="74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74">
        <f>IF(AU56=18," восемнадцать",IF(AU56=19," девятнадцать",""))</f>
      </c>
    </row>
    <row r="74" spans="1:49" s="74" customFormat="1" ht="12" customHeight="1">
      <c r="A74" s="83" t="str">
        <f>IF(AND(J56&gt;=11,J56&lt;=19),"",IF(OR(J57="",J57=0,J57=5,J57=6,J57=7,J57=8,J57=9),B74,""))</f>
        <v> копеек</v>
      </c>
      <c r="B74" s="74" t="s">
        <v>93</v>
      </c>
      <c r="D74" s="83" t="str">
        <f>IF(I56&gt;0,"",IF(OR(I55=0,I55=5,I55=6,I55=7,I55=8,I55=9),E74,""))</f>
        <v> белорусских рублей, </v>
      </c>
      <c r="E74" s="84" t="s">
        <v>100</v>
      </c>
      <c r="G74" s="74" t="str">
        <f>IF(SUM(I58:I70)=0,PROPER(I74),I74)</f>
        <v> сорок</v>
      </c>
      <c r="H74" s="74">
        <v>3</v>
      </c>
      <c r="I74" s="80" t="str">
        <f>IF(AND(I56&lt;20,I56&gt;10),"",J74&amp;K74)</f>
        <v> сорок</v>
      </c>
      <c r="J74" s="74" t="str">
        <f>IF(I57=10," десять",IF(I57=20," двадцать",IF(I57=30," тридцать",IF(I57=40," сорок",IF(I57=50," пятьдесят",IF(I57=60," шестьдесят",""))))))</f>
        <v> сорок</v>
      </c>
      <c r="K74" s="74">
        <f>IF(I57=70," семьдесят",IF(I57=80," восемьдесят",IF(I57=90," девяносто","")))</f>
      </c>
      <c r="N74" s="83" t="str">
        <f>IF(AND(V56&gt;=11,V56&lt;=19),"",IF(OR(V57="",V57=0,V57=5,V57=6,V57=7,V57=8,V57=9),O74,""))</f>
        <v> копеек</v>
      </c>
      <c r="O74" s="74" t="s">
        <v>93</v>
      </c>
      <c r="P74" s="83" t="str">
        <f>IF(U56&gt;0,"",IF(OR(U55=0,U55=5,U55=6,U55=7,U55=8,U55=9),Q74,""))</f>
        <v> российских рублей, </v>
      </c>
      <c r="Q74" s="84" t="s">
        <v>101</v>
      </c>
      <c r="S74" s="74" t="str">
        <f>IF(SUM(U58:U70)=0,PROPER(U74),U74)</f>
        <v> сорок</v>
      </c>
      <c r="T74" s="74">
        <v>3</v>
      </c>
      <c r="U74" s="80" t="str">
        <f>IF(AND(U56&lt;20,U56&gt;10),"",V74&amp;W74)</f>
        <v> сорок</v>
      </c>
      <c r="V74" s="74" t="str">
        <f>IF(U57=10," десять",IF(U57=20," двадцать",IF(U57=30," тридцать",IF(U57=40," сорок",IF(U57=50," пятьдесят",IF(U57=60," шестьдесят",""))))))</f>
        <v> сорок</v>
      </c>
      <c r="W74" s="74">
        <f>IF(U57=70," семьдесят",IF(U57=80," восемьдесят",IF(U57=90," девяносто","")))</f>
      </c>
      <c r="AA74" s="83" t="str">
        <f>IF(AND(AI56&gt;=11,AI56&lt;=19),"",IF(OR(AI57="",AI57=0,AI57=5,AI57=6,AI57=7,AI57=8,AI57=9),AB74,""))</f>
        <v> центов</v>
      </c>
      <c r="AB74" s="74" t="s">
        <v>94</v>
      </c>
      <c r="AC74" s="83" t="str">
        <f>IF(AH56&gt;0,"",IF(OR(AH55=0,AH55=5,AH55=6,AH55=7,AH55=8,AH55=9),AD74,""))</f>
        <v> долларов, </v>
      </c>
      <c r="AD74" s="84" t="s">
        <v>108</v>
      </c>
      <c r="AF74" s="74" t="str">
        <f>IF(SUM(AH58:AH70)=0,PROPER(AH74),AH74)</f>
        <v> сорок</v>
      </c>
      <c r="AG74" s="74">
        <v>3</v>
      </c>
      <c r="AH74" s="80" t="str">
        <f>IF(AND(AH56&lt;20,AH56&gt;10),"",AI74&amp;AJ74)</f>
        <v> сорок</v>
      </c>
      <c r="AI74" s="74" t="str">
        <f>IF(AH57=10," десять",IF(AH57=20," двадцать",IF(AH57=30," тридцать",IF(AH57=40," сорок",IF(AH57=50," пятьдесят",IF(AH57=60," шестьдесят",""))))))</f>
        <v> сорок</v>
      </c>
      <c r="AJ74" s="74">
        <f>IF(AH57=70," семьдесят",IF(AH57=80," восемьдесят",IF(AH57=90," девяносто","")))</f>
      </c>
      <c r="AN74" s="83" t="str">
        <f>IF(AND(AV56&gt;=11,AV56&lt;=19),"",IF(OR(AV57="",AV57=0,AV57=5,AV57=6,AV57=7,AV57=8,AV57=9),AO74,""))</f>
        <v> евроцентов</v>
      </c>
      <c r="AO74" s="74" t="s">
        <v>95</v>
      </c>
      <c r="AP74" s="83"/>
      <c r="AQ74" s="84"/>
      <c r="AS74" s="74" t="str">
        <f>IF(SUM(AU58:AU70)=0,PROPER(AU74),AU74)</f>
        <v> сорок</v>
      </c>
      <c r="AT74" s="74">
        <v>3</v>
      </c>
      <c r="AU74" s="80" t="str">
        <f>IF(AND(AU56&lt;20,AU56&gt;10),"",AV74&amp;AW74)</f>
        <v> сорок</v>
      </c>
      <c r="AV74" s="74" t="str">
        <f>IF(AU57=10," десять",IF(AU57=20," двадцать",IF(AU57=30," тридцать",IF(AU57=40," сорок",IF(AU57=50," пятьдесят",IF(AU57=60," шестьдесят",""))))))</f>
        <v> сорок</v>
      </c>
      <c r="AW74" s="74">
        <f>IF(AU57=70," семьдесят",IF(AU57=80," восемьдесят",IF(AU57=90," девяносто","")))</f>
      </c>
    </row>
    <row r="75" spans="1:49" s="74" customFormat="1" ht="12" customHeight="1">
      <c r="A75" s="74">
        <f>IF(AND(J56&gt;=11,J56&lt;=19),B74,"")</f>
      </c>
      <c r="D75" s="74">
        <f>IF(AND(I56&gt;=11,I56&lt;=19),E74,"")</f>
      </c>
      <c r="E75" s="84"/>
      <c r="G75" s="74" t="str">
        <f>IF(SUM(J59:J70)=0,PROPER(I75),I75)</f>
        <v> Сто</v>
      </c>
      <c r="H75" s="74">
        <v>4</v>
      </c>
      <c r="I75" s="80" t="str">
        <f>J75&amp;K75</f>
        <v> сто</v>
      </c>
      <c r="J75" s="74" t="str">
        <f>IF(I58=100," сто",IF(I58=200," двести",IF(I58=300," триста",IF(I58=400," четыреста",IF(I58=500," пятьсот",IF(I58=600," шестьсот",""))))))</f>
        <v> сто</v>
      </c>
      <c r="K75" s="74">
        <f>IF(I58=700," семьсот",IF(I58=800," восемьсот",IF(I58=900," девятьсот","")))</f>
      </c>
      <c r="N75" s="74">
        <f>IF(AND(V56&gt;=11,V56&lt;=19),O74,"")</f>
      </c>
      <c r="P75" s="74">
        <f>IF(AND(U56&gt;=11,U56&lt;=19),Q74,"")</f>
      </c>
      <c r="Q75" s="84"/>
      <c r="S75" s="74" t="str">
        <f>IF(SUM(V59:V70)=0,PROPER(U75),U75)</f>
        <v> Сто</v>
      </c>
      <c r="T75" s="74">
        <v>4</v>
      </c>
      <c r="U75" s="80" t="str">
        <f>V75&amp;W75</f>
        <v> сто</v>
      </c>
      <c r="V75" s="74" t="str">
        <f>IF(U58=100," сто",IF(U58=200," двести",IF(U58=300," триста",IF(U58=400," четыреста",IF(U58=500," пятьсот",IF(U58=600," шестьсот",""))))))</f>
        <v> сто</v>
      </c>
      <c r="W75" s="74">
        <f>IF(U58=700," семьсот",IF(U58=800," восемьсот",IF(U58=900," девятьсот","")))</f>
      </c>
      <c r="AA75" s="74">
        <f>IF(AND(AI56&gt;=11,AI56&lt;=19),AB74,"")</f>
      </c>
      <c r="AC75" s="74">
        <f>IF(AND(AH56&gt;=11,AH56&lt;=19),AD74,"")</f>
      </c>
      <c r="AD75" s="84"/>
      <c r="AF75" s="74" t="str">
        <f>IF(SUM(AI59:AI70)=0,PROPER(AH75),AH75)</f>
        <v> Сто</v>
      </c>
      <c r="AG75" s="74">
        <v>4</v>
      </c>
      <c r="AH75" s="80" t="str">
        <f>AI75&amp;AJ75</f>
        <v> сто</v>
      </c>
      <c r="AI75" s="74" t="str">
        <f>IF(AH58=100," сто",IF(AH58=200," двести",IF(AH58=300," триста",IF(AH58=400," четыреста",IF(AH58=500," пятьсот",IF(AH58=600," шестьсот",""))))))</f>
        <v> сто</v>
      </c>
      <c r="AJ75" s="74">
        <f>IF(AH58=700," семьсот",IF(AH58=800," восемьсот",IF(AH58=900," девятьсот","")))</f>
      </c>
      <c r="AN75" s="74">
        <f>IF(AND(AV56&gt;=11,AV56&lt;=19),AO74,"")</f>
      </c>
      <c r="AQ75" s="84"/>
      <c r="AS75" s="74" t="str">
        <f>IF(SUM(AV59:AV70)=0,PROPER(AU75),AU75)</f>
        <v> Сто</v>
      </c>
      <c r="AT75" s="74">
        <v>4</v>
      </c>
      <c r="AU75" s="80" t="str">
        <f>AV75&amp;AW75</f>
        <v> сто</v>
      </c>
      <c r="AV75" s="74" t="str">
        <f>IF(AU58=100," сто",IF(AU58=200," двести",IF(AU58=300," триста",IF(AU58=400," четыреста",IF(AU58=500," пятьсот",IF(AU58=600," шестьсот",""))))))</f>
        <v> сто</v>
      </c>
      <c r="AW75" s="74">
        <f>IF(AU58=700," семьсот",IF(AU58=800," восемьсот",IF(AU58=900," девятьсот","")))</f>
      </c>
    </row>
    <row r="76" spans="1:50" s="74" customFormat="1" ht="12" customHeight="1">
      <c r="A76" s="82" t="str">
        <f>IF(J57="","00"&amp;A72&amp;A73&amp;A74&amp;A75,A72&amp;A73&amp;A74&amp;A75)</f>
        <v> копеек</v>
      </c>
      <c r="D76" s="82" t="str">
        <f>D72&amp;D73&amp;D74&amp;D75</f>
        <v> белорусских рублей, </v>
      </c>
      <c r="E76" s="82"/>
      <c r="G76" s="74">
        <f>IF(SUM(J60:J70)=0,PROPER(I76),I76)</f>
      </c>
      <c r="H76" s="74">
        <v>5</v>
      </c>
      <c r="I76" s="80">
        <f>IF(AND(J60&lt;20,J60&gt;10),"",J76&amp;K76)</f>
      </c>
      <c r="J76" s="74">
        <f>IF(J59=1," одна",IF(J59=2," две",IF(J59=3," три",IF(J59=4," четыре",IF(J59=5," пять",IF(J59=6," шесть",IF(J59=7," семь","")))))))</f>
      </c>
      <c r="K76" s="74">
        <f>IF(J59=8," восемь",IF(J59=9," девять",""))</f>
      </c>
      <c r="L76" s="74">
        <f>IF(AND(I76="",I77="",I78="",I79=""),"",IF(AND(J60&lt;20,J60&gt;10)," тысяч",IF(J59=1," тысяча",IF(OR(J59=2,J59=3,J59=4)," тысячи"," тысяч"))))</f>
      </c>
      <c r="N76" s="82" t="str">
        <f>IF(V57="","00"&amp;N72&amp;N73&amp;N74&amp;N75,N72&amp;N73&amp;N74&amp;N75)</f>
        <v> копеек</v>
      </c>
      <c r="P76" s="82" t="str">
        <f>P72&amp;P73&amp;P74&amp;P75</f>
        <v> российских рублей, </v>
      </c>
      <c r="Q76" s="82"/>
      <c r="S76" s="74">
        <f>IF(SUM(V60:V70)=0,PROPER(U76),U76)</f>
      </c>
      <c r="T76" s="74">
        <v>5</v>
      </c>
      <c r="U76" s="80">
        <f>IF(AND(V60&lt;20,V60&gt;10),"",V76&amp;W76)</f>
      </c>
      <c r="V76" s="74">
        <f>IF(V59=1," одна",IF(V59=2," две",IF(V59=3," три",IF(V59=4," четыре",IF(V59=5," пять",IF(V59=6," шесть",IF(V59=7," семь","")))))))</f>
      </c>
      <c r="W76" s="74">
        <f>IF(V59=8," восемь",IF(V59=9," девять",""))</f>
      </c>
      <c r="X76" s="74">
        <f>IF(AND(U76="",U77="",U78="",U79=""),"",IF(AND(V60&lt;20,V60&gt;10)," тысяч",IF(V59=1," тысяча",IF(OR(V59=2,V59=3,V59=4)," тысячи"," тысяч"))))</f>
      </c>
      <c r="AA76" s="82" t="str">
        <f>IF(AI57="","00"&amp;AA72&amp;AA73&amp;AA74&amp;AA75,AA72&amp;AA73&amp;AA74&amp;AA75)</f>
        <v> центов</v>
      </c>
      <c r="AC76" s="82" t="str">
        <f>AC72&amp;AC73&amp;AC74&amp;AC75</f>
        <v> долларов, </v>
      </c>
      <c r="AD76" s="82"/>
      <c r="AF76" s="74">
        <f>IF(SUM(AI60:AI70)=0,PROPER(AH76),AH76)</f>
      </c>
      <c r="AG76" s="74">
        <v>5</v>
      </c>
      <c r="AH76" s="80">
        <f>IF(AND(AI60&lt;20,AI60&gt;10),"",AI76&amp;AJ76)</f>
      </c>
      <c r="AI76" s="74">
        <f>IF(AI59=1," одна",IF(AI59=2," две",IF(AI59=3," три",IF(AI59=4," четыре",IF(AI59=5," пять",IF(AI59=6," шесть",IF(AI59=7," семь","")))))))</f>
      </c>
      <c r="AJ76" s="74">
        <f>IF(AI59=8," восемь",IF(AI59=9," девять",""))</f>
      </c>
      <c r="AK76" s="74">
        <f>IF(AND(AH76="",AH77="",AH78="",AH79=""),"",IF(AND(AI60&lt;20,AI60&gt;10)," тысяч",IF(AI59=1," тысяча",IF(OR(AI59=2,AI59=3,AI59=4)," тысячи"," тысяч"))))</f>
      </c>
      <c r="AN76" s="82" t="str">
        <f>IF(AV57="","00"&amp;AN72&amp;AN73&amp;AN74&amp;AN75,AN72&amp;AN73&amp;AN74&amp;AN75)</f>
        <v> евроцентов</v>
      </c>
      <c r="AP76" s="82" t="s">
        <v>109</v>
      </c>
      <c r="AQ76" s="82"/>
      <c r="AS76" s="74">
        <f>IF(SUM(AV60:AV70)=0,PROPER(AU76),AU76)</f>
      </c>
      <c r="AT76" s="74">
        <v>5</v>
      </c>
      <c r="AU76" s="80">
        <f>IF(AND(AV60&lt;20,AV60&gt;10),"",AV76&amp;AW76)</f>
      </c>
      <c r="AV76" s="74">
        <f>IF(AV59=1," одна",IF(AV59=2," две",IF(AV59=3," три",IF(AV59=4," четыре",IF(AV59=5," пять",IF(AV59=6," шесть",IF(AV59=7," семь","")))))))</f>
      </c>
      <c r="AW76" s="74">
        <f>IF(AV59=8," восемь",IF(AV59=9," девять",""))</f>
      </c>
      <c r="AX76" s="74">
        <f>IF(AND(AU76="",AU77="",AU78="",AU79=""),"",IF(AND(AV60&lt;20,AV60&gt;10)," тысяч",IF(AV59=1," тысяча",IF(OR(AV59=2,AV59=3,AV59=4)," тысячи"," тысяч"))))</f>
      </c>
    </row>
    <row r="77" spans="4:49" s="74" customFormat="1" ht="12" customHeight="1">
      <c r="D77" s="81"/>
      <c r="E77" s="82"/>
      <c r="G77" s="74">
        <f>IF(SUM(J62:J70)=0,PROPER(I77),I77)</f>
      </c>
      <c r="H77" s="74">
        <v>6</v>
      </c>
      <c r="I77" s="80">
        <f>J77&amp;K77</f>
      </c>
      <c r="J77" s="74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74">
        <f>IF(J60=18," восемнадцать",IF(J60=19," девятнадцать",""))</f>
      </c>
      <c r="P77" s="81"/>
      <c r="Q77" s="82"/>
      <c r="S77" s="74">
        <f>IF(SUM(V62:V70)=0,PROPER(U77),U77)</f>
      </c>
      <c r="T77" s="74">
        <v>6</v>
      </c>
      <c r="U77" s="80">
        <f>V77&amp;W77</f>
      </c>
      <c r="V77" s="74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74">
        <f>IF(V60=18," восемнадцать",IF(V60=19," девятнадцать",""))</f>
      </c>
      <c r="AC77" s="81"/>
      <c r="AD77" s="82"/>
      <c r="AF77" s="74">
        <f>IF(SUM(AI62:AI70)=0,PROPER(AH77),AH77)</f>
      </c>
      <c r="AG77" s="74">
        <v>6</v>
      </c>
      <c r="AH77" s="80">
        <f>AI77&amp;AJ77</f>
      </c>
      <c r="AI77" s="74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74">
        <f>IF(AI60=18," восемнадцать",IF(AI60=19," девятнадцать",""))</f>
      </c>
      <c r="AP77" s="81"/>
      <c r="AQ77" s="82"/>
      <c r="AS77" s="74">
        <f>IF(SUM(AV62:AV70)=0,PROPER(AU77),AU77)</f>
      </c>
      <c r="AT77" s="74">
        <v>6</v>
      </c>
      <c r="AU77" s="80">
        <f>AV77&amp;AW77</f>
      </c>
      <c r="AV77" s="74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74">
        <f>IF(AV60=18," восемнадцать",IF(AV60=19," девятнадцать",""))</f>
      </c>
    </row>
    <row r="78" spans="7:49" s="74" customFormat="1" ht="12" customHeight="1">
      <c r="G78" s="74">
        <f>IF(SUM(J62:J70)=0,PROPER(I78),I78)</f>
      </c>
      <c r="H78" s="74">
        <v>7</v>
      </c>
      <c r="I78" s="80">
        <f>IF(AND(J60&lt;20,J60&gt;10),"",J78&amp;K78)</f>
      </c>
      <c r="J78" s="74">
        <f>IF(J61=10," десять",IF(J61=20," двадцать",IF(J61=30," тридцать",IF(J61=40," сорок",IF(J61=50," пятьдесят",IF(J61=60," шестьдесят",""))))))</f>
      </c>
      <c r="K78" s="74">
        <f>IF(J61=70," семьдесят",IF(J61=80," восемьдесят",IF(J61=90," девяносто","")))</f>
      </c>
      <c r="S78" s="74">
        <f>IF(SUM(V62:V70)=0,PROPER(U78),U78)</f>
      </c>
      <c r="T78" s="74">
        <v>7</v>
      </c>
      <c r="U78" s="80">
        <f>IF(AND(V60&lt;20,V60&gt;10),"",V78&amp;W78)</f>
      </c>
      <c r="V78" s="74">
        <f>IF(V61=10," десять",IF(V61=20," двадцать",IF(V61=30," тридцать",IF(V61=40," сорок",IF(V61=50," пятьдесят",IF(V61=60," шестьдесят",""))))))</f>
      </c>
      <c r="W78" s="74">
        <f>IF(V61=70," семьдесят",IF(V61=80," восемьдесят",IF(V61=90," девяносто","")))</f>
      </c>
      <c r="AF78" s="74">
        <f>IF(SUM(AI62:AI70)=0,PROPER(AH78),AH78)</f>
      </c>
      <c r="AG78" s="74">
        <v>7</v>
      </c>
      <c r="AH78" s="80">
        <f>IF(AND(AI60&lt;20,AI60&gt;10),"",AI78&amp;AJ78)</f>
      </c>
      <c r="AI78" s="74">
        <f>IF(AI61=10," десять",IF(AI61=20," двадцать",IF(AI61=30," тридцать",IF(AI61=40," сорок",IF(AI61=50," пятьдесят",IF(AI61=60," шестьдесят",""))))))</f>
      </c>
      <c r="AJ78" s="74">
        <f>IF(AI61=70," семьдесят",IF(AI61=80," восемьдесят",IF(AI61=90," девяносто","")))</f>
      </c>
      <c r="AS78" s="74">
        <f>IF(SUM(AV62:AV70)=0,PROPER(AU78),AU78)</f>
      </c>
      <c r="AT78" s="74">
        <v>7</v>
      </c>
      <c r="AU78" s="80">
        <f>IF(AND(AV60&lt;20,AV60&gt;10),"",AV78&amp;AW78)</f>
      </c>
      <c r="AV78" s="74">
        <f>IF(AV61=10," десять",IF(AV61=20," двадцать",IF(AV61=30," тридцать",IF(AV61=40," сорок",IF(AV61=50," пятьдесят",IF(AV61=60," шестьдесят",""))))))</f>
      </c>
      <c r="AW78" s="74">
        <f>IF(AV61=70," семьдесят",IF(AV61=80," восемьдесят",IF(AV61=90," девяносто","")))</f>
      </c>
    </row>
    <row r="79" spans="7:49" s="74" customFormat="1" ht="12" customHeight="1">
      <c r="G79" s="74">
        <f>IF(SUM(J63:J70)=0,PROPER(I79),I79)</f>
      </c>
      <c r="H79" s="74">
        <v>8</v>
      </c>
      <c r="I79" s="80">
        <f>J79&amp;K79</f>
      </c>
      <c r="J79" s="74">
        <f>IF(J62=100," сто",IF(J62=200," двести",IF(J62=300," триста",IF(J62=400," четыреста",IF(J62=500," пятьсот",IF(J62=600," шестьсот",""))))))</f>
      </c>
      <c r="K79" s="74">
        <f>IF(J62=700," семьсот",IF(J62=800," восемьсот",IF(J62=900," девятьсот","")))</f>
      </c>
      <c r="S79" s="74">
        <f>IF(SUM(V63:V70)=0,PROPER(U79),U79)</f>
      </c>
      <c r="T79" s="74">
        <v>8</v>
      </c>
      <c r="U79" s="80">
        <f>V79&amp;W79</f>
      </c>
      <c r="V79" s="74">
        <f>IF(V62=100," сто",IF(V62=200," двести",IF(V62=300," триста",IF(V62=400," четыреста",IF(V62=500," пятьсот",IF(V62=600," шестьсот",""))))))</f>
      </c>
      <c r="W79" s="74">
        <f>IF(V62=700," семьсот",IF(V62=800," восемьсот",IF(V62=900," девятьсот","")))</f>
      </c>
      <c r="AF79" s="74">
        <f>IF(SUM(AI63:AI70)=0,PROPER(AH79),AH79)</f>
      </c>
      <c r="AG79" s="74">
        <v>8</v>
      </c>
      <c r="AH79" s="80">
        <f>AI79&amp;AJ79</f>
      </c>
      <c r="AI79" s="74">
        <f>IF(AI62=100," сто",IF(AI62=200," двести",IF(AI62=300," триста",IF(AI62=400," четыреста",IF(AI62=500," пятьсот",IF(AI62=600," шестьсот",""))))))</f>
      </c>
      <c r="AJ79" s="74">
        <f>IF(AI62=700," семьсот",IF(AI62=800," восемьсот",IF(AI62=900," девятьсот","")))</f>
      </c>
      <c r="AS79" s="74">
        <f>IF(SUM(AV63:AV70)=0,PROPER(AU79),AU79)</f>
      </c>
      <c r="AT79" s="74">
        <v>8</v>
      </c>
      <c r="AU79" s="80">
        <f>AV79&amp;AW79</f>
      </c>
      <c r="AV79" s="74">
        <f>IF(AV62=100," сто",IF(AV62=200," двести",IF(AV62=300," триста",IF(AV62=400," четыреста",IF(AV62=500," пятьсот",IF(AV62=600," шестьсот",""))))))</f>
      </c>
      <c r="AW79" s="74">
        <f>IF(AV62=700," семьсот",IF(AV62=800," восемьсот",IF(AV62=900," девятьсот","")))</f>
      </c>
    </row>
    <row r="80" spans="7:50" s="74" customFormat="1" ht="12" customHeight="1">
      <c r="G80" s="74">
        <f>IF(SUM(J64:J70)=0,PROPER(I80),I80)</f>
      </c>
      <c r="H80" s="74">
        <v>9</v>
      </c>
      <c r="I80" s="80">
        <f>IF(AND(J64&lt;20,J64&gt;10),"",J80&amp;K80)</f>
      </c>
      <c r="J80" s="74">
        <f>IF(J63=1," один",IF(J63=2," два",IF(J63=3," три",IF(J63=4," четыре",IF(J63=5," пять",IF(J63=6," шесть",IF(J63=7," семь","")))))))</f>
      </c>
      <c r="K80" s="74">
        <f>IF(J63=8," восемь",IF(J63=9," девять",""))</f>
      </c>
      <c r="L80" s="74">
        <f>IF(AND(I80="",I81="",I82="",I83=""),"",IF(AND(J64&lt;20,J64&gt;10)," миллионов",IF(J63=1," миллион",IF(OR(J63=2,J63=3,J63=4)," миллиона"," миллионов"))))</f>
      </c>
      <c r="S80" s="74">
        <f>IF(SUM(V64:V70)=0,PROPER(U80),U80)</f>
      </c>
      <c r="T80" s="74">
        <v>9</v>
      </c>
      <c r="U80" s="80">
        <f>IF(AND(V64&lt;20,V64&gt;10),"",V80&amp;W80)</f>
      </c>
      <c r="V80" s="74">
        <f>IF(V63=1," один",IF(V63=2," два",IF(V63=3," три",IF(V63=4," четыре",IF(V63=5," пять",IF(V63=6," шесть",IF(V63=7," семь","")))))))</f>
      </c>
      <c r="W80" s="74">
        <f>IF(V63=8," восемь",IF(V63=9," девять",""))</f>
      </c>
      <c r="X80" s="74">
        <f>IF(AND(U80="",U81="",U82="",U83=""),"",IF(AND(V64&lt;20,V64&gt;10)," миллионов",IF(V63=1," миллион",IF(OR(V63=2,V63=3,V63=4)," миллиона"," миллионов"))))</f>
      </c>
      <c r="AF80" s="74">
        <f>IF(SUM(AI64:AI70)=0,PROPER(AH80),AH80)</f>
      </c>
      <c r="AG80" s="74">
        <v>9</v>
      </c>
      <c r="AH80" s="80">
        <f>IF(AND(AI64&lt;20,AI64&gt;10),"",AI80&amp;AJ80)</f>
      </c>
      <c r="AI80" s="74">
        <f>IF(AI63=1," один",IF(AI63=2," два",IF(AI63=3," три",IF(AI63=4," четыре",IF(AI63=5," пять",IF(AI63=6," шесть",IF(AI63=7," семь","")))))))</f>
      </c>
      <c r="AJ80" s="74">
        <f>IF(AI63=8," восемь",IF(AI63=9," девять",""))</f>
      </c>
      <c r="AK80" s="74">
        <f>IF(AND(AH80="",AH81="",AH82="",AH83=""),"",IF(AND(AI64&lt;20,AI64&gt;10)," миллионов",IF(AI63=1," миллион",IF(OR(AI63=2,AI63=3,AI63=4)," миллиона"," миллионов"))))</f>
      </c>
      <c r="AS80" s="74">
        <f>IF(SUM(AV64:AV70)=0,PROPER(AU80),AU80)</f>
      </c>
      <c r="AT80" s="74">
        <v>9</v>
      </c>
      <c r="AU80" s="80">
        <f>IF(AND(AV64&lt;20,AV64&gt;10),"",AV80&amp;AW80)</f>
      </c>
      <c r="AV80" s="74">
        <f>IF(AV63=1," один",IF(AV63=2," два",IF(AV63=3," три",IF(AV63=4," четыре",IF(AV63=5," пять",IF(AV63=6," шесть",IF(AV63=7," семь","")))))))</f>
      </c>
      <c r="AW80" s="74">
        <f>IF(AV63=8," восемь",IF(AV63=9," девять",""))</f>
      </c>
      <c r="AX80" s="74">
        <f>IF(AND(AU80="",AU81="",AU82="",AU83=""),"",IF(AND(AV64&lt;20,AV64&gt;10)," миллионов",IF(AV63=1," миллион",IF(OR(AV63=2,AV63=3,AV63=4)," миллиона"," миллионов"))))</f>
      </c>
    </row>
    <row r="81" spans="7:49" s="74" customFormat="1" ht="12" customHeight="1">
      <c r="G81" s="74">
        <f>IF(SUM(J66:J70)=0,PROPER(I81),I81)</f>
      </c>
      <c r="H81" s="74">
        <v>10</v>
      </c>
      <c r="I81" s="80">
        <f>J81&amp;K81</f>
      </c>
      <c r="J81" s="74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74">
        <f>IF(J64=18," восемнадцать",IF(J64=19," девятнадцать",""))</f>
      </c>
      <c r="S81" s="74">
        <f>IF(SUM(V66:V70)=0,PROPER(U81),U81)</f>
      </c>
      <c r="T81" s="74">
        <v>10</v>
      </c>
      <c r="U81" s="80">
        <f>V81&amp;W81</f>
      </c>
      <c r="V81" s="74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74">
        <f>IF(V64=18," восемнадцать",IF(V64=19," девятнадцать",""))</f>
      </c>
      <c r="AF81" s="74">
        <f>IF(SUM(AI66:AI70)=0,PROPER(AH81),AH81)</f>
      </c>
      <c r="AG81" s="74">
        <v>10</v>
      </c>
      <c r="AH81" s="80">
        <f>AI81&amp;AJ81</f>
      </c>
      <c r="AI81" s="74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74">
        <f>IF(AI64=18," восемнадцать",IF(AI64=19," девятнадцать",""))</f>
      </c>
      <c r="AS81" s="74">
        <f>IF(SUM(AV66:AV70)=0,PROPER(AU81),AU81)</f>
      </c>
      <c r="AT81" s="74">
        <v>10</v>
      </c>
      <c r="AU81" s="80">
        <f>AV81&amp;AW81</f>
      </c>
      <c r="AV81" s="74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74">
        <f>IF(AV64=18," восемнадцать",IF(AV64=19," девятнадцать",""))</f>
      </c>
    </row>
    <row r="82" spans="7:49" s="74" customFormat="1" ht="12" customHeight="1">
      <c r="G82" s="74">
        <f>IF(SUM(J66:J70)=0,PROPER(I82),I82)</f>
      </c>
      <c r="H82" s="74">
        <v>11</v>
      </c>
      <c r="I82" s="80">
        <f>IF(AND(J64&lt;20,J64&gt;10),"",J82&amp;K82)</f>
      </c>
      <c r="J82" s="74">
        <f>IF(J65=10," десять",IF(J65=20," двадцать",IF(J65=30," тридцать",IF(J65=40," сорок",IF(J65=50," пятьдесят",IF(J65=60," шестьдесят",""))))))</f>
      </c>
      <c r="K82" s="74">
        <f>IF(J65=70," семьдесят",IF(J65=80," восемьдесят",IF(J65=90," девяносто","")))</f>
      </c>
      <c r="S82" s="74">
        <f>IF(SUM(V66:V70)=0,PROPER(U82),U82)</f>
      </c>
      <c r="T82" s="74">
        <v>11</v>
      </c>
      <c r="U82" s="80">
        <f>IF(AND(V64&lt;20,V64&gt;10),"",V82&amp;W82)</f>
      </c>
      <c r="V82" s="74">
        <f>IF(V65=10," десять",IF(V65=20," двадцать",IF(V65=30," тридцать",IF(V65=40," сорок",IF(V65=50," пятьдесят",IF(V65=60," шестьдесят",""))))))</f>
      </c>
      <c r="W82" s="74">
        <f>IF(V65=70," семьдесят",IF(V65=80," восемьдесят",IF(V65=90," девяносто","")))</f>
      </c>
      <c r="AF82" s="74">
        <f>IF(SUM(AI66:AI70)=0,PROPER(AH82),AH82)</f>
      </c>
      <c r="AG82" s="74">
        <v>11</v>
      </c>
      <c r="AH82" s="80">
        <f>IF(AND(AI64&lt;20,AI64&gt;10),"",AI82&amp;AJ82)</f>
      </c>
      <c r="AI82" s="74">
        <f>IF(AI65=10," десять",IF(AI65=20," двадцать",IF(AI65=30," тридцать",IF(AI65=40," сорок",IF(AI65=50," пятьдесят",IF(AI65=60," шестьдесят",""))))))</f>
      </c>
      <c r="AJ82" s="74">
        <f>IF(AI65=70," семьдесят",IF(AI65=80," восемьдесят",IF(AI65=90," девяносто","")))</f>
      </c>
      <c r="AS82" s="74">
        <f>IF(SUM(AV66:AV70)=0,PROPER(AU82),AU82)</f>
      </c>
      <c r="AT82" s="74">
        <v>11</v>
      </c>
      <c r="AU82" s="80">
        <f>IF(AND(AV64&lt;20,AV64&gt;10),"",AV82&amp;AW82)</f>
      </c>
      <c r="AV82" s="74">
        <f>IF(AV65=10," десять",IF(AV65=20," двадцать",IF(AV65=30," тридцать",IF(AV65=40," сорок",IF(AV65=50," пятьдесят",IF(AV65=60," шестьдесят",""))))))</f>
      </c>
      <c r="AW82" s="74">
        <f>IF(AV65=70," семьдесят",IF(AV65=80," восемьдесят",IF(AV65=90," девяносто","")))</f>
      </c>
    </row>
    <row r="83" spans="7:49" s="74" customFormat="1" ht="12" customHeight="1">
      <c r="G83" s="74">
        <f>IF(SUM(J67:J70)=0,PROPER(I83),I83)</f>
      </c>
      <c r="H83" s="74">
        <v>12</v>
      </c>
      <c r="I83" s="80">
        <f>J83&amp;K83</f>
      </c>
      <c r="J83" s="74">
        <f>IF(J66=100," сто",IF(J66=200," двести",IF(J66=300," триста",IF(J66=400," четыреста",IF(J66=500," пятьсот",IF(J66=600," шестьсот",""))))))</f>
      </c>
      <c r="K83" s="74">
        <f>IF(J66=700," семьсот",IF(J66=800," восемьсот",IF(J66=900," девятьсот","")))</f>
      </c>
      <c r="S83" s="74">
        <f>IF(SUM(V67:V70)=0,PROPER(U83),U83)</f>
      </c>
      <c r="T83" s="74">
        <v>12</v>
      </c>
      <c r="U83" s="80">
        <f>V83&amp;W83</f>
      </c>
      <c r="V83" s="74">
        <f>IF(V66=100," сто",IF(V66=200," двести",IF(V66=300," триста",IF(V66=400," четыреста",IF(V66=500," пятьсот",IF(V66=600," шестьсот",""))))))</f>
      </c>
      <c r="W83" s="74">
        <f>IF(V66=700," семьсот",IF(V66=800," восемьсот",IF(V66=900," девятьсот","")))</f>
      </c>
      <c r="AF83" s="74">
        <f>IF(SUM(AI67:AI70)=0,PROPER(AH83),AH83)</f>
      </c>
      <c r="AG83" s="74">
        <v>12</v>
      </c>
      <c r="AH83" s="80">
        <f>AI83&amp;AJ83</f>
      </c>
      <c r="AI83" s="74">
        <f>IF(AI66=100," сто",IF(AI66=200," двести",IF(AI66=300," триста",IF(AI66=400," четыреста",IF(AI66=500," пятьсот",IF(AI66=600," шестьсот",""))))))</f>
      </c>
      <c r="AJ83" s="74">
        <f>IF(AI66=700," семьсот",IF(AI66=800," восемьсот",IF(AI66=900," девятьсот","")))</f>
      </c>
      <c r="AS83" s="74">
        <f>IF(SUM(AV67:AV70)=0,PROPER(AU83),AU83)</f>
      </c>
      <c r="AT83" s="74">
        <v>12</v>
      </c>
      <c r="AU83" s="80">
        <f>AV83&amp;AW83</f>
      </c>
      <c r="AV83" s="74">
        <f>IF(AV66=100," сто",IF(AV66=200," двести",IF(AV66=300," триста",IF(AV66=400," четыреста",IF(AV66=500," пятьсот",IF(AV66=600," шестьсот",""))))))</f>
      </c>
      <c r="AW83" s="74">
        <f>IF(AV66=700," семьсот",IF(AV66=800," восемьсот",IF(AV66=900," девятьсот","")))</f>
      </c>
    </row>
    <row r="84" spans="7:50" s="74" customFormat="1" ht="12" customHeight="1">
      <c r="G84" s="74">
        <f>IF(SUM(J68:J70)=0,PROPER(I84),I84)</f>
      </c>
      <c r="H84" s="74">
        <v>13</v>
      </c>
      <c r="I84" s="80">
        <f>IF(AND(J68&lt;20,J68&gt;10),"",J84&amp;K84)</f>
      </c>
      <c r="J84" s="74">
        <f>IF(J67=1," один",IF(J67=2," два",IF(J67=3," три",IF(J67=4," четыре",IF(J67=5," пять",IF(J67=6," шесть",IF(J67=7," семь","")))))))</f>
      </c>
      <c r="K84" s="74">
        <f>IF(J67=8," восемь",IF(J67=9," девять",""))</f>
      </c>
      <c r="L84" s="74">
        <f>IF(AND(I84="",I85="",I86="",I87=""),"",IF(AND(J68&lt;20,J68&gt;10)," миллиардов",IF(J67=1," миллиард",IF(OR(J67=2,J67=3,J67=4)," миллиарда"," миллиардов"))))</f>
      </c>
      <c r="S84" s="74">
        <f>IF(SUM(V68:V70)=0,PROPER(U84),U84)</f>
      </c>
      <c r="T84" s="74">
        <v>13</v>
      </c>
      <c r="U84" s="80">
        <f>IF(AND(V68&lt;20,V68&gt;10),"",V84&amp;W84)</f>
      </c>
      <c r="V84" s="74">
        <f>IF(V67=1," один",IF(V67=2," два",IF(V67=3," три",IF(V67=4," четыре",IF(V67=5," пять",IF(V67=6," шесть",IF(V67=7," семь","")))))))</f>
      </c>
      <c r="W84" s="74">
        <f>IF(V67=8," восемь",IF(V67=9," девять",""))</f>
      </c>
      <c r="X84" s="74">
        <f>IF(AND(U84="",U85="",U86="",U87=""),"",IF(AND(V68&lt;20,V68&gt;10)," миллиардов",IF(V67=1," миллиард",IF(OR(V67=2,V67=3,V67=4)," миллиарда"," миллиардов"))))</f>
      </c>
      <c r="AF84" s="74">
        <f>IF(SUM(AI68:AI70)=0,PROPER(AH84),AH84)</f>
      </c>
      <c r="AG84" s="74">
        <v>13</v>
      </c>
      <c r="AH84" s="80">
        <f>IF(AND(AI68&lt;20,AI68&gt;10),"",AI84&amp;AJ84)</f>
      </c>
      <c r="AI84" s="74">
        <f>IF(AI67=1," один",IF(AI67=2," два",IF(AI67=3," три",IF(AI67=4," четыре",IF(AI67=5," пять",IF(AI67=6," шесть",IF(AI67=7," семь","")))))))</f>
      </c>
      <c r="AJ84" s="74">
        <f>IF(AI67=8," восемь",IF(AI67=9," девять",""))</f>
      </c>
      <c r="AK84" s="74">
        <f>IF(AND(AH84="",AH85="",AH86="",AH87=""),"",IF(AND(AI68&lt;20,AI68&gt;10)," миллиардов",IF(AI67=1," миллиард",IF(OR(AI67=2,AI67=3,AI67=4)," миллиарда"," миллиардов"))))</f>
      </c>
      <c r="AS84" s="74">
        <f>IF(SUM(AV68:AV70)=0,PROPER(AU84),AU84)</f>
      </c>
      <c r="AT84" s="74">
        <v>13</v>
      </c>
      <c r="AU84" s="80">
        <f>IF(AND(AV68&lt;20,AV68&gt;10),"",AV84&amp;AW84)</f>
      </c>
      <c r="AV84" s="74">
        <f>IF(AV67=1," один",IF(AV67=2," два",IF(AV67=3," три",IF(AV67=4," четыре",IF(AV67=5," пять",IF(AV67=6," шесть",IF(AV67=7," семь","")))))))</f>
      </c>
      <c r="AW84" s="74">
        <f>IF(AV67=8," восемь",IF(AV67=9," девять",""))</f>
      </c>
      <c r="AX84" s="74">
        <f>IF(AND(AU84="",AU85="",AU86="",AU87=""),"",IF(AND(AV68&lt;20,AV68&gt;10)," миллиардов",IF(AV67=1," миллиард",IF(OR(AV67=2,AV67=3,AV67=4)," миллиарда"," миллиардов"))))</f>
      </c>
    </row>
    <row r="85" spans="7:49" s="74" customFormat="1" ht="12" customHeight="1">
      <c r="G85" s="74">
        <f>IF(J70=0,PROPER(I85),I85)</f>
      </c>
      <c r="H85" s="74">
        <v>14</v>
      </c>
      <c r="I85" s="80">
        <f>J85&amp;K85</f>
      </c>
      <c r="J85" s="74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74">
        <f>IF(J68=18," восемнадцать",IF(J68=19," девятнадцать",""))</f>
      </c>
      <c r="S85" s="74">
        <f>IF(V70=0,PROPER(U85),U85)</f>
      </c>
      <c r="T85" s="74">
        <v>14</v>
      </c>
      <c r="U85" s="80">
        <f>V85&amp;W85</f>
      </c>
      <c r="V85" s="74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74">
        <f>IF(V68=18," восемнадцать",IF(V68=19," девятнадцать",""))</f>
      </c>
      <c r="AF85" s="74">
        <f>IF(AI70=0,PROPER(AH85),AH85)</f>
      </c>
      <c r="AG85" s="74">
        <v>14</v>
      </c>
      <c r="AH85" s="80">
        <f>AI85&amp;AJ85</f>
      </c>
      <c r="AI85" s="74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74">
        <f>IF(AI68=18," восемнадцать",IF(AI68=19," девятнадцать",""))</f>
      </c>
      <c r="AS85" s="74">
        <f>IF(AV70=0,PROPER(AU85),AU85)</f>
      </c>
      <c r="AT85" s="74">
        <v>14</v>
      </c>
      <c r="AU85" s="80">
        <f>AV85&amp;AW85</f>
      </c>
      <c r="AV85" s="74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74">
        <f>IF(AV68=18," восемнадцать",IF(AV68=19," девятнадцать",""))</f>
      </c>
    </row>
    <row r="86" spans="7:49" s="74" customFormat="1" ht="12" customHeight="1">
      <c r="G86" s="74">
        <f>IF(SUM(J70)=0,PROPER(I86),I86)</f>
      </c>
      <c r="H86" s="74">
        <v>15</v>
      </c>
      <c r="I86" s="80">
        <f>IF(AND(J68&lt;20,J68&gt;10),"",J86&amp;K86)</f>
      </c>
      <c r="J86" s="74">
        <f>IF(J69=10," десять",IF(J69=20," двадцать",IF(J69=30," тридцать",IF(J69=40," сорок",IF(J69=50," пятьдесят",IF(J69=60," шестьдесят",""))))))</f>
      </c>
      <c r="K86" s="74">
        <f>IF(J69=70," семьдесят",IF(J69=80," восемьдесят",IF(J69=90," девяносто","")))</f>
      </c>
      <c r="S86" s="74">
        <f>IF(SUM(V70)=0,PROPER(U86),U86)</f>
      </c>
      <c r="T86" s="74">
        <v>15</v>
      </c>
      <c r="U86" s="80">
        <f>IF(AND(V68&lt;20,V68&gt;10),"",V86&amp;W86)</f>
      </c>
      <c r="V86" s="74">
        <f>IF(V69=10," десять",IF(V69=20," двадцать",IF(V69=30," тридцать",IF(V69=40," сорок",IF(V69=50," пятьдесят",IF(V69=60," шестьдесят",""))))))</f>
      </c>
      <c r="W86" s="74">
        <f>IF(V69=70," семьдесят",IF(V69=80," восемьдесят",IF(V69=90," девяносто","")))</f>
      </c>
      <c r="AF86" s="74">
        <f>IF(SUM(AI70)=0,PROPER(AH86),AH86)</f>
      </c>
      <c r="AG86" s="74">
        <v>15</v>
      </c>
      <c r="AH86" s="80">
        <f>IF(AND(AI68&lt;20,AI68&gt;10),"",AI86&amp;AJ86)</f>
      </c>
      <c r="AI86" s="74">
        <f>IF(AI69=10," десять",IF(AI69=20," двадцать",IF(AI69=30," тридцать",IF(AI69=40," сорок",IF(AI69=50," пятьдесят",IF(AI69=60," шестьдесят",""))))))</f>
      </c>
      <c r="AJ86" s="74">
        <f>IF(AI69=70," семьдесят",IF(AI69=80," восемьдесят",IF(AI69=90," девяносто","")))</f>
      </c>
      <c r="AS86" s="74">
        <f>IF(SUM(AV70)=0,PROPER(AU86),AU86)</f>
      </c>
      <c r="AT86" s="74">
        <v>15</v>
      </c>
      <c r="AU86" s="80">
        <f>IF(AND(AV68&lt;20,AV68&gt;10),"",AV86&amp;AW86)</f>
      </c>
      <c r="AV86" s="74">
        <f>IF(AV69=10," десять",IF(AV69=20," двадцать",IF(AV69=30," тридцать",IF(AV69=40," сорок",IF(AV69=50," пятьдесят",IF(AV69=60," шестьдесят",""))))))</f>
      </c>
      <c r="AW86" s="74">
        <f>IF(AV69=70," семьдесят",IF(AV69=80," восемьдесят",IF(AV69=90," девяносто","")))</f>
      </c>
    </row>
    <row r="87" spans="7:49" s="74" customFormat="1" ht="12" customHeight="1">
      <c r="G87" s="74">
        <f>PROPER(I87)</f>
      </c>
      <c r="H87" s="74">
        <v>16</v>
      </c>
      <c r="I87" s="80">
        <f>J87&amp;K87</f>
      </c>
      <c r="J87" s="74">
        <f>IF(J70=100," сто",IF(J70=200," двести",IF(J70=300," триста",IF(J70=400," четыреста",IF(J70=500," пятьсот",IF(J70=600," шестьсот",""))))))</f>
      </c>
      <c r="K87" s="74">
        <f>IF(J70=700," семьсот",IF(J70=800," восемьсот",IF(J70=900," девятьсот","")))</f>
      </c>
      <c r="S87" s="74">
        <f>PROPER(U87)</f>
      </c>
      <c r="T87" s="74">
        <v>16</v>
      </c>
      <c r="U87" s="80">
        <f>V87&amp;W87</f>
      </c>
      <c r="V87" s="74">
        <f>IF(V70=100," сто",IF(V70=200," двести",IF(V70=300," триста",IF(V70=400," четыреста",IF(V70=500," пятьсот",IF(V70=600," шестьсот",""))))))</f>
      </c>
      <c r="W87" s="74">
        <f>IF(V70=700," семьсот",IF(V70=800," восемьсот",IF(V70=900," девятьсот","")))</f>
      </c>
      <c r="AF87" s="74">
        <f>PROPER(AH87)</f>
      </c>
      <c r="AG87" s="74">
        <v>16</v>
      </c>
      <c r="AH87" s="80">
        <f>AI87&amp;AJ87</f>
      </c>
      <c r="AI87" s="74">
        <f>IF(AI70=100," сто",IF(AI70=200," двести",IF(AI70=300," триста",IF(AI70=400," четыреста",IF(AI70=500," пятьсот",IF(AI70=600," шестьсот",""))))))</f>
      </c>
      <c r="AJ87" s="74">
        <f>IF(AI70=700," семьсот",IF(AI70=800," восемьсот",IF(AI70=900," девятьсот","")))</f>
      </c>
      <c r="AS87" s="74">
        <f>PROPER(AU87)</f>
      </c>
      <c r="AT87" s="74">
        <v>16</v>
      </c>
      <c r="AU87" s="80">
        <f>AV87&amp;AW87</f>
      </c>
      <c r="AV87" s="74">
        <f>IF(AV70=100," сто",IF(AV70=200," двести",IF(AV70=300," триста",IF(AV70=400," четыреста",IF(AV70=500," пятьсот",IF(AV70=600," шестьсот",""))))))</f>
      </c>
      <c r="AW87" s="74">
        <f>IF(AV70=700," семьсот",IF(AV70=800," восемьсот",IF(AV70=900," девятьсот","")))</f>
      </c>
    </row>
    <row r="88" s="74" customFormat="1" ht="12" customHeight="1"/>
    <row r="89" s="71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2" customWidth="1"/>
    <col min="2" max="2" width="9.00390625" style="32" customWidth="1"/>
    <col min="3" max="3" width="6.625" style="32" customWidth="1"/>
    <col min="4" max="4" width="13.625" style="32" customWidth="1"/>
    <col min="5" max="5" width="23.00390625" style="32" customWidth="1"/>
    <col min="6" max="6" width="9.375" style="32" customWidth="1"/>
    <col min="7" max="7" width="9.125" style="32" customWidth="1"/>
    <col min="8" max="8" width="13.25390625" style="46" customWidth="1"/>
    <col min="9" max="9" width="10.125" style="32" bestFit="1" customWidth="1"/>
    <col min="10" max="12" width="9.125" style="32" customWidth="1"/>
    <col min="13" max="13" width="15.375" style="32" bestFit="1" customWidth="1"/>
    <col min="14" max="16" width="9.125" style="32" customWidth="1"/>
    <col min="17" max="17" width="15.375" style="32" bestFit="1" customWidth="1"/>
    <col min="18" max="16384" width="9.125" style="32" customWidth="1"/>
  </cols>
  <sheetData>
    <row r="1" spans="2:8" ht="15.75">
      <c r="B1" s="33"/>
      <c r="C1" s="33"/>
      <c r="D1" s="33"/>
      <c r="E1" s="34">
        <f>'Платежное поручение'!AU16</f>
        <v>145.88</v>
      </c>
      <c r="H1" s="35"/>
    </row>
    <row r="2" spans="1:19" ht="15.75">
      <c r="A2" s="36" t="s">
        <v>38</v>
      </c>
      <c r="B2" s="37" t="str">
        <f>SUBSTITUTE(B4,F8,F9,1)</f>
        <v>Сто сорок пять белорусских рублей </v>
      </c>
      <c r="E2" s="38"/>
      <c r="H2" s="39"/>
      <c r="I2" s="40"/>
      <c r="J2" s="39"/>
      <c r="K2" s="39"/>
      <c r="L2" s="39"/>
      <c r="M2" s="41" t="s">
        <v>39</v>
      </c>
      <c r="N2" s="215">
        <f ca="1">TODAY()</f>
        <v>44272</v>
      </c>
      <c r="O2" s="215"/>
      <c r="P2" s="40">
        <f>DAY(N2)</f>
        <v>17</v>
      </c>
      <c r="Q2" s="42" t="str">
        <f>IF(Q3&gt;7,S2,S3)</f>
        <v>марта</v>
      </c>
      <c r="R2" s="41">
        <f>YEAR(N2)</f>
        <v>2021</v>
      </c>
      <c r="S2" s="39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6" t="s">
        <v>40</v>
      </c>
      <c r="B3" s="43" t="str">
        <f>SUBSTITUTE(B5,F8,F9,1)</f>
        <v>Сто сорок пять белорусских рублей </v>
      </c>
      <c r="H3" s="39"/>
      <c r="I3" s="39"/>
      <c r="J3" s="39"/>
      <c r="K3" s="216" t="str">
        <f>CONCATENATE(" «  ",P2,"  »  ",Q2,"  ",R2," г.")</f>
        <v> «  17  »  марта  2021 г.</v>
      </c>
      <c r="L3" s="216"/>
      <c r="M3" s="216"/>
      <c r="N3" s="44"/>
      <c r="O3" s="44"/>
      <c r="P3" s="39"/>
      <c r="Q3" s="42">
        <f>MONTH(N2)</f>
        <v>3</v>
      </c>
      <c r="R3" s="39"/>
      <c r="S3" s="39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45" t="s">
        <v>41</v>
      </c>
      <c r="B4" s="43" t="str">
        <f>CONCATENATE(A7,A8,A9,A10)</f>
        <v>сто сорок пять белорусских рублей </v>
      </c>
    </row>
    <row r="5" spans="1:10" s="43" customFormat="1" ht="12.75">
      <c r="A5" s="45" t="s">
        <v>42</v>
      </c>
      <c r="B5" s="43" t="str">
        <f>CONCATENATE(A7,A8,A9,A10,A11,B7,B8,C8)</f>
        <v>сто сорок пять белорусских рублей </v>
      </c>
      <c r="C5" s="32"/>
      <c r="D5" s="32"/>
      <c r="E5" s="32"/>
      <c r="H5" s="47"/>
      <c r="I5" s="47"/>
      <c r="J5" s="47"/>
    </row>
    <row r="6" spans="4:10" ht="12.75" customHeight="1">
      <c r="D6" s="46"/>
      <c r="H6" s="47"/>
      <c r="I6" s="47"/>
      <c r="J6" s="47"/>
    </row>
    <row r="7" spans="1:10" ht="12.75" customHeight="1">
      <c r="A7" s="48">
        <f>CONCATENATE(IF(B14=0,"",E14),IF(B15=0,"",IF(C16&lt;20,IF(C16&lt;16,IF(C16&lt;10,E15,D16),F16),E15)),IF(B16=0,"",IF(NOT(B15=1),E16,"")),F17)</f>
      </c>
      <c r="D7" s="46"/>
      <c r="F7" s="49">
        <f>CODE(B5)</f>
        <v>241</v>
      </c>
      <c r="G7" s="48"/>
      <c r="H7" s="47"/>
      <c r="I7" s="47"/>
      <c r="J7" s="47"/>
    </row>
    <row r="8" spans="1:17" ht="12.75" customHeight="1">
      <c r="A8" s="48">
        <f>CONCATENATE(IF(B18=0,"",E18),IF(B19=0,"",IF(C20&lt;20,IF(C20&lt;16,IF(C20&lt;10,E19,D20),F20),E19)),IF(B20=0,"",IF(NOT(B19=1),E20,"")),F21)</f>
      </c>
      <c r="B8" s="50"/>
      <c r="D8" s="51"/>
      <c r="F8" s="49" t="str">
        <f>CHAR(F7)</f>
        <v>с</v>
      </c>
      <c r="G8" s="48"/>
      <c r="H8" s="47"/>
      <c r="I8" s="47"/>
      <c r="J8" s="47"/>
      <c r="Q8" s="52"/>
    </row>
    <row r="9" spans="1:10" s="48" customFormat="1" ht="12.75" customHeight="1">
      <c r="A9" s="48">
        <f>CONCATENATE(IF(B22=0,"",E22),IF(B23=0,"",IF(C24&lt;20,IF(C24&lt;16,IF(C24&lt;10,E23,D24),F24),E23)),IF(B24=0,"",IF(NOT(B23=1),E24,"")),F25)</f>
      </c>
      <c r="D9" s="47"/>
      <c r="E9" s="53"/>
      <c r="F9" s="49" t="str">
        <f>PROPER(F8)</f>
        <v>С</v>
      </c>
      <c r="H9" s="47"/>
      <c r="I9" s="47"/>
      <c r="J9" s="47"/>
    </row>
    <row r="10" spans="1:10" s="48" customFormat="1" ht="12.75" customHeight="1">
      <c r="A10" s="48" t="str">
        <f>CONCATENATE(IF(B26=0,"",E26),IF(B27=0,"",IF(C28&lt;20,IF(C28&lt;16,IF(C28&lt;10,E27,D28),F28),E27)),IF(B28=0,"",IF(NOT(B27=1),E28,"")),F29)</f>
        <v>сто сорок пять белорусских рублей </v>
      </c>
      <c r="D10" s="47"/>
      <c r="E10" s="53"/>
      <c r="H10" s="47"/>
      <c r="I10" s="47"/>
      <c r="J10" s="47"/>
    </row>
    <row r="11" spans="1:13" s="48" customFormat="1" ht="12.75">
      <c r="A11" s="54"/>
      <c r="D11" s="47"/>
      <c r="E11" s="53"/>
      <c r="M11" s="55"/>
    </row>
    <row r="12" spans="1:13" s="48" customFormat="1" ht="12.75">
      <c r="A12" s="54"/>
      <c r="E12" s="56">
        <f>TRUNC(E1)</f>
        <v>145</v>
      </c>
      <c r="F12" s="48" t="s">
        <v>43</v>
      </c>
      <c r="H12" s="47"/>
      <c r="M12" s="57"/>
    </row>
    <row r="13" spans="1:8" s="48" customFormat="1" ht="12.75">
      <c r="A13" s="58">
        <f>TRUNC(A14/10)</f>
        <v>0</v>
      </c>
      <c r="B13" s="47"/>
      <c r="H13" s="47"/>
    </row>
    <row r="14" spans="1:8" s="48" customFormat="1" ht="12.75">
      <c r="A14" s="58">
        <f>TRUNC(A15/10)</f>
        <v>0</v>
      </c>
      <c r="B14" s="47">
        <f>TRUNC(RIGHT(A14))</f>
        <v>0</v>
      </c>
      <c r="C14" s="48">
        <f>B14</f>
        <v>0</v>
      </c>
      <c r="E14" s="59" t="str">
        <f>IF(B14=1,E42,IF(B14=2,G34,IF(B14=3,G35,IF(B14=4,G36,IF(B14=5,G37,IF(B14=6,G38,IF(B14=7,G39,IF(B14=8,G40,G41))))))))</f>
        <v>девятьсот </v>
      </c>
      <c r="H14" s="47"/>
    </row>
    <row r="15" spans="1:8" s="48" customFormat="1" ht="12.75">
      <c r="A15" s="58">
        <f>TRUNC(A16/10)</f>
        <v>0</v>
      </c>
      <c r="B15" s="47">
        <f>TRUNC(RIGHT(A15))</f>
        <v>0</v>
      </c>
      <c r="C15" s="48">
        <f>IF(B15=1,"",B15)</f>
        <v>0</v>
      </c>
      <c r="E15" s="60">
        <f>IF(OR(C15=0,B15=1),"",IF(B15=2,E34,IF(B15=3,E35,IF(B15=4,E36,IF(B15=5,E37,IF(B15=6,E38,IF(B15=7,E39,IF(B15=8,E40,E41))))))))</f>
      </c>
      <c r="H15" s="47"/>
    </row>
    <row r="16" spans="1:8" s="48" customFormat="1" ht="12.75">
      <c r="A16" s="58">
        <f>TRUNC(A18/10)</f>
        <v>0</v>
      </c>
      <c r="B16" s="47">
        <f>TRUNC(RIGHT(A16))</f>
        <v>0</v>
      </c>
      <c r="C16" s="48">
        <f>IF(B15=1,B16+10,IF(B16=0,0,B16))</f>
        <v>0</v>
      </c>
      <c r="D16" s="48">
        <f>IF(AND(C16&gt;9,C16&lt;16),IF(C16=10,D33,IF(C16=11,D34,IF(C16=12,D35,IF(C16=13,D36,IF(C16=14,D37,IF(C16=15,D38,)))))),"")</f>
      </c>
      <c r="E16" s="60" t="str">
        <f>IF(B16=1,A33,IF(B16=2,A34,IF(B16=3,A35,IF(B16=4,A36,IF(B16=5,A37,IF(B16=6,A38,IF(B16=7,A39,IF(B16=8,A40,A41))))))))</f>
        <v>девять </v>
      </c>
      <c r="F16" s="48">
        <f>IF(AND(C16&gt;15,C16&lt;20),IF(C16=16,D39,IF(C16=17,D40,IF(C16=18,D41,IF(C16=19,D42,)))),"")</f>
      </c>
      <c r="H16" s="47"/>
    </row>
    <row r="17" spans="1:8" s="48" customFormat="1" ht="12.75">
      <c r="A17" s="58"/>
      <c r="B17" s="47"/>
      <c r="D17" s="47"/>
      <c r="E17" s="48">
        <f>B16+B15*10+B14*100</f>
        <v>0</v>
      </c>
      <c r="F17" s="48">
        <f>IF(E17=0,"",IF(B15=1,"миллиардов ",IF(B16=1,"милиард ",IF(OR(B16=2,B16=3,B16=4),"миллиарда ","милиардов "))))</f>
      </c>
      <c r="H17" s="47"/>
    </row>
    <row r="18" spans="1:8" s="48" customFormat="1" ht="12.75">
      <c r="A18" s="58">
        <f>TRUNC(A19/10)</f>
        <v>0</v>
      </c>
      <c r="B18" s="47">
        <f>TRUNC(RIGHT(A18))</f>
        <v>0</v>
      </c>
      <c r="C18" s="48">
        <f>B18</f>
        <v>0</v>
      </c>
      <c r="E18" s="59" t="str">
        <f>IF(B18=1,E42,IF(B18=2,G34,IF(B18=3,G35,IF(B18=4,G36,IF(B18=5,G37,IF(B18=6,G38,IF(B18=7,G39,IF(B18=8,G40,G41))))))))</f>
        <v>девятьсот </v>
      </c>
      <c r="H18" s="47"/>
    </row>
    <row r="19" spans="1:6" ht="12.75">
      <c r="A19" s="58">
        <f>TRUNC(A20/10)</f>
        <v>0</v>
      </c>
      <c r="B19" s="47">
        <f>TRUNC(RIGHT(A19))</f>
        <v>0</v>
      </c>
      <c r="C19" s="48">
        <f>IF(B19=1,"",B19)</f>
        <v>0</v>
      </c>
      <c r="D19" s="48"/>
      <c r="E19" s="60">
        <f>IF(OR(C19=0,B19=1),"",IF(B19=2,E34,IF(B19=3,E35,IF(B19=4,E36,IF(B19=5,E37,IF(B19=6,E38,IF(B19=7,E39,IF(B19=8,E40,E41))))))))</f>
      </c>
      <c r="F19" s="48"/>
    </row>
    <row r="20" spans="1:6" s="48" customFormat="1" ht="12.75">
      <c r="A20" s="58">
        <f>TRUNC(A22/10)</f>
        <v>0</v>
      </c>
      <c r="B20" s="47">
        <f>TRUNC(RIGHT(A20))</f>
        <v>0</v>
      </c>
      <c r="C20" s="48">
        <f>IF(B19=1,B20+10,IF(B20=0,0,B20))</f>
        <v>0</v>
      </c>
      <c r="D20" s="48">
        <f>IF(AND(C20&gt;9,C20&lt;16),IF(C20=10,D33,IF(C20=11,D34,IF(C20=12,D35,IF(C20=13,D36,IF(C20=14,D37,IF(C20=15,D38,)))))),"")</f>
      </c>
      <c r="E20" s="60" t="str">
        <f>IF(B20=1,A33,IF(B20=2,A34,IF(B20=3,A35,IF(B20=4,A36,IF(B20=5,A37,IF(B20=6,A38,IF(B20=7,A39,IF(B20=8,A40,A41))))))))</f>
        <v>девять </v>
      </c>
      <c r="F20" s="48">
        <f>IF(AND(C20&gt;15,C20&lt;20),IF(C20=16,D39,IF(C20=17,D40,IF(C20=18,D41,IF(C20=19,D42,)))),"")</f>
      </c>
    </row>
    <row r="21" spans="1:6" s="48" customFormat="1" ht="12.75">
      <c r="A21" s="58"/>
      <c r="B21" s="47"/>
      <c r="E21" s="48">
        <f>B20+B19*10+B18*100</f>
        <v>0</v>
      </c>
      <c r="F21" s="48">
        <f>IF(E21=0,"",IF(B19=1,"миллионов ",IF(B20=1,"миллион ",IF(OR(B20=2,B20=3,B20=4),"миллиона ","миллионов "))))</f>
      </c>
    </row>
    <row r="22" spans="1:9" s="48" customFormat="1" ht="12.75">
      <c r="A22" s="58">
        <f>TRUNC(A23/10)</f>
        <v>0</v>
      </c>
      <c r="B22" s="47">
        <f>TRUNC(RIGHT(A22))</f>
        <v>0</v>
      </c>
      <c r="C22" s="48">
        <f>B22</f>
        <v>0</v>
      </c>
      <c r="E22" s="59" t="str">
        <f>IF(B22=1,E42,IF(B22=2,G34,IF(B22=3,G35,IF(B22=4,G36,IF(B22=5,G37,IF(B22=6,G38,IF(B22=7,G39,IF(B22=8,G40,G41))))))))</f>
        <v>девятьсот </v>
      </c>
      <c r="I22" s="55"/>
    </row>
    <row r="23" spans="1:5" s="48" customFormat="1" ht="12.75">
      <c r="A23" s="58">
        <f>TRUNC(A24/10)</f>
        <v>0</v>
      </c>
      <c r="B23" s="47">
        <f>TRUNC(RIGHT(A23))</f>
        <v>0</v>
      </c>
      <c r="C23" s="48">
        <f>IF(B23=1,"",B23)</f>
        <v>0</v>
      </c>
      <c r="E23" s="60">
        <f>IF(OR(C23=0,B23=1),"",IF(B23=2,E34,IF(B23=3,E35,IF(B23=4,E36,IF(B23=5,E37,IF(B23=6,E38,IF(B23=7,E39,IF(B23=8,E40,E41))))))))</f>
      </c>
    </row>
    <row r="24" spans="1:6" s="48" customFormat="1" ht="12.75">
      <c r="A24" s="58">
        <f>TRUNC(A26/10)</f>
        <v>0</v>
      </c>
      <c r="B24" s="47">
        <f>TRUNC(RIGHT(A24))</f>
        <v>0</v>
      </c>
      <c r="C24" s="48">
        <f>IF(B23=1,B24+10,IF(B24=0,0,B24))</f>
        <v>0</v>
      </c>
      <c r="D24" s="48">
        <f>IF(AND(C24&gt;9,C24&lt;16),IF(C24=10,D33,IF(C24=11,D34,IF(C24=12,D35,IF(C24=13,D36,IF(C24=14,D37,IF(C24=15,D38,)))))),"")</f>
      </c>
      <c r="E24" s="60" t="str">
        <f>IF(B24=1,B33,IF(B24=2,B34,IF(B24=3,A35,IF(B24=4,A36,IF(B24=5,A37,IF(B24=6,A38,IF(B24=7,A39,IF(B24=8,A40,A41))))))))</f>
        <v>девять </v>
      </c>
      <c r="F24" s="48">
        <f>IF(AND(C24&gt;15,C24&lt;20),IF(C24=16,D39,IF(C24=17,D40,IF(C24=18,D41,IF(C24=19,D42,)))),"")</f>
      </c>
    </row>
    <row r="25" spans="1:6" s="48" customFormat="1" ht="12.75">
      <c r="A25" s="58"/>
      <c r="B25" s="47"/>
      <c r="E25" s="60">
        <f>B22*100+B23*10+B24</f>
        <v>0</v>
      </c>
      <c r="F25" s="48">
        <f>IF(E25=0,"",IF(B23=1,"тысяч ",IF(B24=1,"тысяча ",IF(OR(B24=2,B24=3,B24=4),"тысячи ","тысяч "))))</f>
      </c>
    </row>
    <row r="26" spans="1:5" s="48" customFormat="1" ht="12.75">
      <c r="A26" s="58">
        <f>TRUNC(A27/10)</f>
        <v>1</v>
      </c>
      <c r="B26" s="47">
        <f>TRUNC(RIGHT(A26))</f>
        <v>1</v>
      </c>
      <c r="C26" s="48">
        <f>B26</f>
        <v>1</v>
      </c>
      <c r="E26" s="59" t="str">
        <f>IF(B26=1,E42,IF(B26=2,G34,IF(B26=3,G35,IF(B26=4,G36,IF(B26=5,G37,IF(B26=6,G38,IF(B26=7,G39,IF(B26=8,G40,G41))))))))</f>
        <v>сто </v>
      </c>
    </row>
    <row r="27" spans="1:7" s="48" customFormat="1" ht="12.75">
      <c r="A27" s="58">
        <f>TRUNC(A28/10)</f>
        <v>14</v>
      </c>
      <c r="B27" s="61">
        <f>TRUNC(RIGHT(A27))</f>
        <v>4</v>
      </c>
      <c r="C27" s="48">
        <f>IF(B27=1,"",B27)</f>
        <v>4</v>
      </c>
      <c r="E27" s="60" t="str">
        <f>IF(OR(C27=0,B27=1),"",IF(C27=2,E34,IF(C27=3,E35,IF(C27=4,E36,IF(C27=5,E37,IF(C27=6,E38,IF(C27=7,E39,IF(C27=8,E40,E41))))))))</f>
        <v>сорок </v>
      </c>
      <c r="G27" s="47"/>
    </row>
    <row r="28" spans="1:7" s="48" customFormat="1" ht="12.75">
      <c r="A28" s="58">
        <f>E12</f>
        <v>145</v>
      </c>
      <c r="B28" s="47">
        <f>TRUNC(RIGHT(A28))</f>
        <v>5</v>
      </c>
      <c r="C28" s="48">
        <f>IF(B27=1,B28+10,IF(B28=0,0,B28))</f>
        <v>5</v>
      </c>
      <c r="D28" s="48">
        <f>IF(AND(C28&gt;9,C28&lt;16),IF(C28=10,D33,IF(C28=11,D34,IF(C28=12,D35,IF(C28=13,D36,IF(C28=14,D37,IF(C28=15,D38,)))))),"")</f>
      </c>
      <c r="E28" s="60" t="str">
        <f>IF(B28=1,A33,IF(B28=2,A34,IF(B28=3,A35,IF(B28=4,A36,IF(B28=5,A37,IF(B28=6,A38,IF(B28=7,A39,IF(B28=8,A40,A41))))))))</f>
        <v>пять </v>
      </c>
      <c r="F28" s="48">
        <f>IF(AND(C28&gt;15,C28&lt;20),IF(C28=16,D39,IF(C28=17,D40,IF(C28=18,D41,IF(C28=19,D42,)))),"")</f>
      </c>
      <c r="G28" s="47"/>
    </row>
    <row r="29" spans="1:7" s="48" customFormat="1" ht="12.75">
      <c r="A29" s="54"/>
      <c r="B29" s="61"/>
      <c r="C29" s="47"/>
      <c r="E29" s="60">
        <f>B26*100+B27*10+B28</f>
        <v>145</v>
      </c>
      <c r="F29" s="48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47"/>
    </row>
    <row r="30" spans="1:8" s="48" customFormat="1" ht="12.75">
      <c r="A30" s="62">
        <f>ROUND(100*(E1-E12),0)</f>
        <v>88</v>
      </c>
      <c r="C30" s="47">
        <f>TRUNC(A30/10)</f>
        <v>8</v>
      </c>
      <c r="E30" s="60" t="str">
        <f>IF(OR(C30=1,C30=0),"",IF(C30=2,E34,IF(C30=3,E35,IF(C30=4,E36,IF(C30=5,E37,IF(C30=6,E38,IF(C30=7,E39,IF(C30=8,E40,E41))))))))</f>
        <v>восемьдесят </v>
      </c>
      <c r="H30" s="47"/>
    </row>
    <row r="31" spans="3:8" s="48" customFormat="1" ht="12.75">
      <c r="C31" s="47">
        <f>TRUNC(A30-C30*10)</f>
        <v>8</v>
      </c>
      <c r="E31" s="60" t="str">
        <f>IF(C31=1,B33,IF(C31=2,B34,IF(C31=3,A35,IF(C31=4,A36,IF(C31=5,A37,IF(C31=6,A38,IF(C31=7,A39,IF(C31=8,A40,A41))))))))</f>
        <v>восемь </v>
      </c>
      <c r="H31" s="47"/>
    </row>
    <row r="32" s="48" customFormat="1" ht="12.75">
      <c r="H32" s="47"/>
    </row>
    <row r="33" spans="1:8" s="48" customFormat="1" ht="12.75">
      <c r="A33" s="48" t="s">
        <v>44</v>
      </c>
      <c r="B33" s="48" t="s">
        <v>45</v>
      </c>
      <c r="D33" s="48" t="s">
        <v>46</v>
      </c>
      <c r="H33" s="47"/>
    </row>
    <row r="34" spans="1:7" s="48" customFormat="1" ht="12.75">
      <c r="A34" s="48" t="s">
        <v>47</v>
      </c>
      <c r="B34" s="48" t="s">
        <v>48</v>
      </c>
      <c r="D34" s="48" t="s">
        <v>49</v>
      </c>
      <c r="E34" s="48" t="s">
        <v>50</v>
      </c>
      <c r="G34" s="48" t="s">
        <v>51</v>
      </c>
    </row>
    <row r="35" spans="1:7" s="48" customFormat="1" ht="12.75">
      <c r="A35" s="48" t="s">
        <v>52</v>
      </c>
      <c r="D35" s="48" t="s">
        <v>53</v>
      </c>
      <c r="E35" s="48" t="s">
        <v>54</v>
      </c>
      <c r="G35" s="48" t="s">
        <v>55</v>
      </c>
    </row>
    <row r="36" spans="1:7" s="48" customFormat="1" ht="12.75">
      <c r="A36" s="48" t="s">
        <v>56</v>
      </c>
      <c r="D36" s="48" t="s">
        <v>57</v>
      </c>
      <c r="E36" s="48" t="s">
        <v>58</v>
      </c>
      <c r="G36" s="48" t="s">
        <v>59</v>
      </c>
    </row>
    <row r="37" spans="1:7" s="48" customFormat="1" ht="12.75">
      <c r="A37" s="48" t="s">
        <v>60</v>
      </c>
      <c r="D37" s="48" t="s">
        <v>61</v>
      </c>
      <c r="E37" s="48" t="s">
        <v>62</v>
      </c>
      <c r="G37" s="48" t="s">
        <v>63</v>
      </c>
    </row>
    <row r="38" spans="1:7" s="48" customFormat="1" ht="12.75">
      <c r="A38" s="48" t="s">
        <v>64</v>
      </c>
      <c r="D38" s="48" t="s">
        <v>65</v>
      </c>
      <c r="E38" s="48" t="s">
        <v>66</v>
      </c>
      <c r="G38" s="48" t="s">
        <v>67</v>
      </c>
    </row>
    <row r="39" spans="1:7" s="48" customFormat="1" ht="12.75">
      <c r="A39" s="48" t="s">
        <v>68</v>
      </c>
      <c r="D39" s="48" t="s">
        <v>69</v>
      </c>
      <c r="E39" s="48" t="s">
        <v>70</v>
      </c>
      <c r="G39" s="48" t="s">
        <v>71</v>
      </c>
    </row>
    <row r="40" spans="1:7" s="48" customFormat="1" ht="12.75">
      <c r="A40" s="63" t="s">
        <v>72</v>
      </c>
      <c r="D40" s="48" t="s">
        <v>73</v>
      </c>
      <c r="E40" s="48" t="s">
        <v>74</v>
      </c>
      <c r="G40" s="48" t="s">
        <v>75</v>
      </c>
    </row>
    <row r="41" spans="1:7" s="48" customFormat="1" ht="12.75">
      <c r="A41" s="48" t="s">
        <v>76</v>
      </c>
      <c r="D41" s="48" t="s">
        <v>77</v>
      </c>
      <c r="E41" s="48" t="s">
        <v>78</v>
      </c>
      <c r="G41" s="48" t="s">
        <v>79</v>
      </c>
    </row>
    <row r="42" spans="4:8" s="48" customFormat="1" ht="12.75">
      <c r="D42" s="48" t="s">
        <v>80</v>
      </c>
      <c r="E42" s="48" t="s">
        <v>81</v>
      </c>
      <c r="H42" s="47"/>
    </row>
    <row r="43" s="48" customFormat="1" ht="12.75">
      <c r="H43" s="47"/>
    </row>
    <row r="44" s="48" customFormat="1" ht="12.75">
      <c r="H44" s="47"/>
    </row>
    <row r="45" s="48" customFormat="1" ht="12.75">
      <c r="H45" s="47"/>
    </row>
    <row r="46" s="48" customFormat="1" ht="12.75">
      <c r="H46" s="47"/>
    </row>
    <row r="47" s="48" customFormat="1" ht="12.75">
      <c r="H47" s="47"/>
    </row>
    <row r="48" s="48" customFormat="1" ht="12.75">
      <c r="H48" s="47"/>
    </row>
    <row r="96" spans="1:4" ht="12.75">
      <c r="A96" s="217"/>
      <c r="B96" s="217"/>
      <c r="C96" s="217"/>
      <c r="D96" s="217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2017-08-15T11:52:28Z</cp:lastPrinted>
  <dcterms:created xsi:type="dcterms:W3CDTF">2003-10-18T11:05:50Z</dcterms:created>
  <dcterms:modified xsi:type="dcterms:W3CDTF">2021-03-17T08:45:01Z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