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КО-1" sheetId="1" r:id="rId1"/>
    <sheet name="Формула числа прописью" sheetId="2" state="hidden" r:id="rId2"/>
  </sheets>
  <definedNames>
    <definedName name="номер_месяца">'КО-1'!$B$113</definedName>
    <definedName name="_xlnm.Print_Area" localSheetId="0">'КО-1'!$C$3:$AJ$45</definedName>
  </definedNames>
  <calcPr fullCalcOnLoad="1"/>
</workbook>
</file>

<file path=xl/sharedStrings.xml><?xml version="1.0" encoding="utf-8"?>
<sst xmlns="http://schemas.openxmlformats.org/spreadsheetml/2006/main" count="115" uniqueCount="85">
  <si>
    <t>Основание</t>
  </si>
  <si>
    <t>(прописью)</t>
  </si>
  <si>
    <t>руб.</t>
  </si>
  <si>
    <t>Приложение</t>
  </si>
  <si>
    <t>Главный бухгалтер</t>
  </si>
  <si>
    <t>(подпись)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</si>
  <si>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</si>
  <si>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</si>
  <si>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</si>
  <si>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</si>
  <si>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</si>
  <si>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</si>
  <si>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</si>
  <si>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</si>
  <si>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</si>
  <si>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</si>
  <si>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</si>
  <si>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</si>
  <si>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</si>
  <si>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</si>
  <si>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</si>
  <si>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</si>
  <si>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</si>
  <si>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</si>
  <si>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</si>
  <si>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</si>
  <si>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</si>
  <si>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</si>
  <si>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</si>
  <si>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</si>
  <si>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</si>
  <si>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</si>
  <si>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</si>
  <si>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</si>
  <si>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</si>
  <si>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</si>
  <si>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</si>
  <si>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</si>
  <si>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</si>
  <si>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</si>
  <si>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</si>
  <si>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</si>
  <si>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</si>
  <si>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</si>
  <si>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</si>
  <si>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</si>
  <si>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</si>
  <si>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</si>
  <si>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</si>
  <si>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</si>
  <si>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КВИТАНЦИЯ</t>
  </si>
  <si>
    <t>к приходному кассовому</t>
  </si>
  <si>
    <t>Принято от</t>
  </si>
  <si>
    <t>Сумма НДС</t>
  </si>
  <si>
    <t>Сумма с НДС</t>
  </si>
  <si>
    <t>%</t>
  </si>
  <si>
    <t>Получил кассир</t>
  </si>
  <si>
    <t>Приложение 1</t>
  </si>
  <si>
    <t>к постановлению</t>
  </si>
  <si>
    <t>Министерства финансов</t>
  </si>
  <si>
    <t>Республики Беларусь</t>
  </si>
  <si>
    <t>29.03.2010 № 38</t>
  </si>
  <si>
    <t>(наименование организации)</t>
  </si>
  <si>
    <t xml:space="preserve">ПРИХОДНЫЙ </t>
  </si>
  <si>
    <t>ордеру</t>
  </si>
  <si>
    <t xml:space="preserve">КАССОВЫЙ ОРДЕР </t>
  </si>
  <si>
    <t>Корреспондирующий счет, субсчет</t>
  </si>
  <si>
    <t>(инициалы, фамилия)</t>
  </si>
  <si>
    <t>(цифрами)</t>
  </si>
  <si>
    <t>(фамилия, собственное имя и отчество
(если таковое имеется))</t>
  </si>
  <si>
    <t>(фамилия, собственное имя и отчество (если таковое имеется))</t>
  </si>
  <si>
    <t>Форма действует с 01.07.2016 года</t>
  </si>
  <si>
    <t>(в редакции постановления</t>
  </si>
  <si>
    <t>13.06.2016 № 44)</t>
  </si>
  <si>
    <t>Форма</t>
  </si>
  <si>
    <t>Сумма, руб. коп.</t>
  </si>
  <si>
    <t>коп.</t>
  </si>
  <si>
    <t>Ноль</t>
  </si>
  <si>
    <t>ноль для копеек</t>
  </si>
  <si>
    <t xml:space="preserve"> копейка</t>
  </si>
  <si>
    <t xml:space="preserve"> белорусский рубль </t>
  </si>
  <si>
    <t xml:space="preserve"> копейки</t>
  </si>
  <si>
    <t xml:space="preserve"> белорусских рубля </t>
  </si>
  <si>
    <t xml:space="preserve"> копеек</t>
  </si>
  <si>
    <t xml:space="preserve"> белорусских рублей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</si>
</sst>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  <numFmt numFmtId="184" formatCode="[$-FC19]d\ mmmm\ yyyy\ &quot;г.&quot;"/>
    <numFmt numFmtId="185" formatCode="[$-F800]dddd\,\ mmmm\ dd\,\ yyyy"/>
    <numFmt numFmtId="186" formatCode="[$-FC19]\d\ \m\m\m\m\ \y\y\y\y\ &quot;г.&quot;"/>
  </numFmts>
  <fonts count="5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10"/>
      <name val="Helv"/>
      <family val="0"/>
    </font>
    <font>
      <b/>
      <sz val="7"/>
      <name val="Tahoma"/>
      <family val="2"/>
    </font>
    <font>
      <sz val="8"/>
      <color indexed="10"/>
      <name val="Tahoma"/>
      <family val="2"/>
    </font>
    <font>
      <sz val="9"/>
      <color indexed="43"/>
      <name val="Times New Roman"/>
      <family val="1"/>
    </font>
    <font>
      <sz val="7"/>
      <color indexed="43"/>
      <name val="Times New Roman"/>
      <family val="1"/>
    </font>
    <font>
      <sz val="8"/>
      <color indexed="43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1" fillId="35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0" fontId="9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Border="1" applyAlignment="1" applyProtection="1">
      <alignment/>
      <protection hidden="1"/>
    </xf>
    <xf numFmtId="4" fontId="10" fillId="35" borderId="0" xfId="0" applyNumberFormat="1" applyFont="1" applyFill="1" applyBorder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 horizontal="left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0" fontId="12" fillId="35" borderId="0" xfId="0" applyNumberFormat="1" applyFont="1" applyFill="1" applyAlignment="1" applyProtection="1">
      <alignment/>
      <protection hidden="1"/>
    </xf>
    <xf numFmtId="4" fontId="10" fillId="35" borderId="0" xfId="0" applyNumberFormat="1" applyFont="1" applyFill="1" applyAlignment="1" applyProtection="1">
      <alignment horizontal="right"/>
      <protection hidden="1"/>
    </xf>
    <xf numFmtId="0" fontId="13" fillId="35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 horizontal="left"/>
      <protection hidden="1"/>
    </xf>
    <xf numFmtId="0" fontId="9" fillId="35" borderId="0" xfId="0" applyFont="1" applyFill="1" applyAlignment="1" applyProtection="1">
      <alignment horizontal="center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176" fontId="9" fillId="35" borderId="0" xfId="0" applyNumberFormat="1" applyFont="1" applyFill="1" applyBorder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12" fillId="35" borderId="0" xfId="0" applyNumberFormat="1" applyFont="1" applyFill="1" applyAlignment="1" applyProtection="1">
      <alignment horizontal="center"/>
      <protection hidden="1"/>
    </xf>
    <xf numFmtId="183" fontId="9" fillId="35" borderId="0" xfId="0" applyNumberFormat="1" applyFont="1" applyFill="1" applyAlignment="1" applyProtection="1">
      <alignment/>
      <protection hidden="1"/>
    </xf>
    <xf numFmtId="2" fontId="9" fillId="35" borderId="0" xfId="0" applyNumberFormat="1" applyFont="1" applyFill="1" applyAlignment="1" applyProtection="1">
      <alignment horizontal="right"/>
      <protection hidden="1"/>
    </xf>
    <xf numFmtId="22" fontId="9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shrinkToFit="1"/>
      <protection hidden="1"/>
    </xf>
    <xf numFmtId="0" fontId="9" fillId="35" borderId="0" xfId="0" applyNumberFormat="1" applyFont="1" applyFill="1" applyAlignment="1" applyProtection="1">
      <alignment horizontal="left"/>
      <protection hidden="1"/>
    </xf>
    <xf numFmtId="14" fontId="9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22" fontId="9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left"/>
      <protection hidden="1"/>
    </xf>
    <xf numFmtId="0" fontId="15" fillId="35" borderId="0" xfId="0" applyNumberFormat="1" applyFont="1" applyFill="1" applyAlignment="1" applyProtection="1">
      <alignment/>
      <protection hidden="1"/>
    </xf>
    <xf numFmtId="0" fontId="15" fillId="35" borderId="0" xfId="0" applyNumberFormat="1" applyFont="1" applyFill="1" applyAlignment="1" applyProtection="1">
      <alignment shrinkToFit="1"/>
      <protection hidden="1"/>
    </xf>
    <xf numFmtId="3" fontId="9" fillId="35" borderId="0" xfId="0" applyNumberFormat="1" applyFont="1" applyFill="1" applyAlignment="1" applyProtection="1">
      <alignment/>
      <protection hidden="1"/>
    </xf>
    <xf numFmtId="1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Border="1" applyAlignment="1" applyProtection="1">
      <alignment/>
      <protection hidden="1"/>
    </xf>
    <xf numFmtId="0" fontId="4" fillId="35" borderId="0" xfId="0" applyNumberFormat="1" applyFont="1" applyFill="1" applyBorder="1" applyAlignment="1" applyProtection="1">
      <alignment horizontal="left" vertical="center"/>
      <protection/>
    </xf>
    <xf numFmtId="0" fontId="1" fillId="35" borderId="0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5" borderId="0" xfId="0" applyNumberFormat="1" applyFont="1" applyFill="1" applyBorder="1" applyAlignment="1" applyProtection="1">
      <alignment horizontal="left" vertical="center"/>
      <protection locked="0"/>
    </xf>
    <xf numFmtId="0" fontId="1" fillId="35" borderId="0" xfId="0" applyNumberFormat="1" applyFont="1" applyFill="1" applyBorder="1" applyAlignment="1" applyProtection="1">
      <alignment vertical="center"/>
      <protection locked="0"/>
    </xf>
    <xf numFmtId="0" fontId="1" fillId="35" borderId="0" xfId="0" applyNumberFormat="1" applyFont="1" applyFill="1" applyBorder="1" applyAlignment="1" applyProtection="1">
      <alignment vertical="center" wrapText="1"/>
      <protection locked="0"/>
    </xf>
    <xf numFmtId="170" fontId="4" fillId="35" borderId="0" xfId="43" applyFont="1" applyFill="1" applyBorder="1" applyAlignment="1" applyProtection="1">
      <alignment vertical="center"/>
      <protection/>
    </xf>
    <xf numFmtId="0" fontId="4" fillId="35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49" fontId="4" fillId="35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4" fillId="35" borderId="0" xfId="0" applyNumberFormat="1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5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right" vertical="center"/>
      <protection locked="0"/>
    </xf>
    <xf numFmtId="0" fontId="1" fillId="33" borderId="18" xfId="0" applyFont="1" applyFill="1" applyBorder="1" applyAlignment="1" applyProtection="1">
      <alignment vertical="center"/>
      <protection hidden="1"/>
    </xf>
    <xf numFmtId="0" fontId="17" fillId="36" borderId="0" xfId="0" applyFont="1" applyFill="1" applyAlignment="1" applyProtection="1">
      <alignment/>
      <protection locked="0"/>
    </xf>
    <xf numFmtId="0" fontId="18" fillId="36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1" fillId="36" borderId="0" xfId="0" applyFont="1" applyFill="1" applyBorder="1" applyAlignment="1" applyProtection="1">
      <alignment/>
      <protection locked="0"/>
    </xf>
    <xf numFmtId="0" fontId="22" fillId="36" borderId="0" xfId="0" applyFont="1" applyFill="1" applyAlignment="1" applyProtection="1">
      <alignment/>
      <protection locked="0"/>
    </xf>
    <xf numFmtId="0" fontId="23" fillId="36" borderId="0" xfId="0" applyFont="1" applyFill="1" applyAlignment="1" applyProtection="1">
      <alignment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24" fillId="36" borderId="0" xfId="0" applyFont="1" applyFill="1" applyBorder="1" applyAlignment="1" applyProtection="1">
      <alignment/>
      <protection/>
    </xf>
    <xf numFmtId="0" fontId="24" fillId="36" borderId="0" xfId="0" applyFont="1" applyFill="1" applyBorder="1" applyAlignment="1" applyProtection="1">
      <alignment horizontal="left"/>
      <protection/>
    </xf>
    <xf numFmtId="2" fontId="24" fillId="36" borderId="0" xfId="0" applyNumberFormat="1" applyFont="1" applyFill="1" applyBorder="1" applyAlignment="1" applyProtection="1">
      <alignment/>
      <protection/>
    </xf>
    <xf numFmtId="3" fontId="24" fillId="36" borderId="0" xfId="0" applyNumberFormat="1" applyFont="1" applyFill="1" applyBorder="1" applyAlignment="1" applyProtection="1">
      <alignment horizontal="right"/>
      <protection/>
    </xf>
    <xf numFmtId="4" fontId="24" fillId="36" borderId="0" xfId="0" applyNumberFormat="1" applyFont="1" applyFill="1" applyBorder="1" applyAlignment="1" applyProtection="1">
      <alignment/>
      <protection/>
    </xf>
    <xf numFmtId="3" fontId="24" fillId="36" borderId="0" xfId="0" applyNumberFormat="1" applyFont="1" applyFill="1" applyBorder="1" applyAlignment="1" applyProtection="1">
      <alignment/>
      <protection/>
    </xf>
    <xf numFmtId="1" fontId="24" fillId="36" borderId="0" xfId="0" applyNumberFormat="1" applyFont="1" applyFill="1" applyBorder="1" applyAlignment="1" applyProtection="1">
      <alignment horizontal="right"/>
      <protection/>
    </xf>
    <xf numFmtId="0" fontId="24" fillId="36" borderId="0" xfId="0" applyFont="1" applyFill="1" applyBorder="1" applyAlignment="1" applyProtection="1">
      <alignment horizontal="right"/>
      <protection/>
    </xf>
    <xf numFmtId="0" fontId="24" fillId="36" borderId="0" xfId="53" applyFont="1" applyFill="1" applyBorder="1" applyAlignment="1" applyProtection="1">
      <alignment horizontal="right" vertical="top"/>
      <protection/>
    </xf>
    <xf numFmtId="0" fontId="24" fillId="36" borderId="0" xfId="53" applyFont="1" applyFill="1" applyBorder="1" applyAlignment="1" applyProtection="1">
      <alignment vertical="top"/>
      <protection/>
    </xf>
    <xf numFmtId="0" fontId="24" fillId="36" borderId="0" xfId="53" applyFont="1" applyFill="1" applyBorder="1" applyAlignment="1" applyProtection="1">
      <alignment horizontal="right" vertical="center"/>
      <protection/>
    </xf>
    <xf numFmtId="0" fontId="24" fillId="36" borderId="0" xfId="53" applyFont="1" applyFill="1" applyBorder="1" applyAlignment="1" applyProtection="1">
      <alignment vertical="center"/>
      <protection/>
    </xf>
    <xf numFmtId="0" fontId="22" fillId="36" borderId="0" xfId="0" applyFont="1" applyFill="1" applyAlignment="1" applyProtection="1">
      <alignment/>
      <protection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20" fillId="33" borderId="19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 wrapText="1"/>
      <protection hidden="1"/>
    </xf>
    <xf numFmtId="0" fontId="20" fillId="33" borderId="19" xfId="0" applyFont="1" applyFill="1" applyBorder="1" applyAlignment="1" applyProtection="1">
      <alignment horizontal="left" vertical="center"/>
      <protection hidden="1"/>
    </xf>
    <xf numFmtId="0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right" vertical="center" wrapText="1"/>
      <protection locked="0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hidden="1"/>
    </xf>
    <xf numFmtId="49" fontId="4" fillId="35" borderId="19" xfId="0" applyNumberFormat="1" applyFont="1" applyFill="1" applyBorder="1" applyAlignment="1" applyProtection="1">
      <alignment horizontal="center" vertical="center"/>
      <protection/>
    </xf>
    <xf numFmtId="0" fontId="5" fillId="35" borderId="18" xfId="0" applyNumberFormat="1" applyFont="1" applyFill="1" applyBorder="1" applyAlignment="1" applyProtection="1">
      <alignment horizontal="center" vertical="center"/>
      <protection/>
    </xf>
    <xf numFmtId="0" fontId="1" fillId="37" borderId="21" xfId="0" applyNumberFormat="1" applyFont="1" applyFill="1" applyBorder="1" applyAlignment="1" applyProtection="1">
      <alignment horizontal="center" vertical="center"/>
      <protection/>
    </xf>
    <xf numFmtId="0" fontId="1" fillId="37" borderId="20" xfId="0" applyNumberFormat="1" applyFont="1" applyFill="1" applyBorder="1" applyAlignment="1" applyProtection="1">
      <alignment horizontal="center" vertical="center"/>
      <protection/>
    </xf>
    <xf numFmtId="0" fontId="1" fillId="37" borderId="22" xfId="0" applyNumberFormat="1" applyFont="1" applyFill="1" applyBorder="1" applyAlignment="1" applyProtection="1">
      <alignment horizontal="center" vertical="center"/>
      <protection/>
    </xf>
    <xf numFmtId="0" fontId="4" fillId="35" borderId="21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20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8" borderId="21" xfId="0" applyFont="1" applyFill="1" applyBorder="1" applyAlignment="1" applyProtection="1">
      <alignment horizontal="center" vertical="center"/>
      <protection hidden="1"/>
    </xf>
    <xf numFmtId="0" fontId="1" fillId="38" borderId="20" xfId="0" applyFont="1" applyFill="1" applyBorder="1" applyAlignment="1" applyProtection="1">
      <alignment horizontal="center" vertical="center"/>
      <protection hidden="1"/>
    </xf>
    <xf numFmtId="0" fontId="1" fillId="38" borderId="22" xfId="0" applyFont="1" applyFill="1" applyBorder="1" applyAlignment="1" applyProtection="1">
      <alignment horizontal="center" vertical="center"/>
      <protection hidden="1"/>
    </xf>
    <xf numFmtId="4" fontId="4" fillId="35" borderId="21" xfId="0" applyNumberFormat="1" applyFont="1" applyFill="1" applyBorder="1" applyAlignment="1" applyProtection="1">
      <alignment horizontal="center" vertical="center"/>
      <protection/>
    </xf>
    <xf numFmtId="4" fontId="4" fillId="35" borderId="20" xfId="0" applyNumberFormat="1" applyFont="1" applyFill="1" applyBorder="1" applyAlignment="1" applyProtection="1">
      <alignment horizontal="center" vertical="center"/>
      <protection/>
    </xf>
    <xf numFmtId="4" fontId="4" fillId="35" borderId="22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185" fontId="4" fillId="35" borderId="0" xfId="0" applyNumberFormat="1" applyFont="1" applyFill="1" applyBorder="1" applyAlignment="1" applyProtection="1">
      <alignment horizontal="left" vertical="center"/>
      <protection/>
    </xf>
    <xf numFmtId="0" fontId="20" fillId="33" borderId="19" xfId="0" applyNumberFormat="1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14" fontId="10" fillId="35" borderId="0" xfId="0" applyNumberFormat="1" applyFont="1" applyFill="1" applyAlignment="1" applyProtection="1">
      <alignment horizontal="center"/>
      <protection hidden="1"/>
    </xf>
    <xf numFmtId="176" fontId="9" fillId="35" borderId="0" xfId="0" applyNumberFormat="1" applyFont="1" applyFill="1" applyBorder="1" applyAlignment="1" applyProtection="1">
      <alignment horizontal="left"/>
      <protection hidden="1"/>
    </xf>
    <xf numFmtId="0" fontId="16" fillId="35" borderId="0" xfId="42" applyNumberFormat="1" applyFont="1" applyFill="1" applyAlignment="1" applyProtection="1">
      <alignment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W2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7" width="2.75390625" style="8" customWidth="1"/>
    <col min="38" max="48" width="8.75390625" style="90" hidden="1" customWidth="1"/>
    <col min="49" max="49" width="2.75390625" style="85" customWidth="1"/>
    <col min="50" max="16384" width="2.75390625" style="8" customWidth="1"/>
  </cols>
  <sheetData>
    <row r="1" spans="2:37" ht="15" customHeight="1" thickBot="1">
      <c r="B1" s="116" t="s">
        <v>71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2:37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:37" ht="9.75" customHeight="1">
      <c r="B3" s="4"/>
      <c r="C3" s="63"/>
      <c r="D3" s="63"/>
      <c r="E3" s="63"/>
      <c r="F3" s="63"/>
      <c r="G3" s="63"/>
      <c r="H3" s="63"/>
      <c r="I3" s="63"/>
      <c r="J3" s="63"/>
      <c r="K3" s="63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64"/>
      <c r="AC3" s="64"/>
      <c r="AD3" s="64"/>
      <c r="AE3" s="64"/>
      <c r="AF3" s="64"/>
      <c r="AG3" s="78"/>
      <c r="AH3" s="64"/>
      <c r="AI3" s="64"/>
      <c r="AJ3" s="79" t="s">
        <v>57</v>
      </c>
      <c r="AK3" s="6"/>
    </row>
    <row r="4" spans="2:37" ht="9.75" customHeight="1">
      <c r="B4" s="4"/>
      <c r="C4" s="57"/>
      <c r="D4" s="57"/>
      <c r="E4" s="57"/>
      <c r="F4" s="57"/>
      <c r="G4" s="57"/>
      <c r="H4" s="57"/>
      <c r="I4" s="57"/>
      <c r="J4" s="57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3"/>
      <c r="AC4" s="9"/>
      <c r="AD4" s="53"/>
      <c r="AE4" s="53"/>
      <c r="AF4" s="53"/>
      <c r="AG4" s="78"/>
      <c r="AH4" s="53"/>
      <c r="AI4" s="53"/>
      <c r="AJ4" s="82" t="s">
        <v>58</v>
      </c>
      <c r="AK4" s="6"/>
    </row>
    <row r="5" spans="2:37" ht="9.75" customHeight="1">
      <c r="B5" s="4"/>
      <c r="C5" s="57"/>
      <c r="D5" s="57"/>
      <c r="E5" s="57"/>
      <c r="F5" s="57"/>
      <c r="G5" s="57"/>
      <c r="H5" s="57"/>
      <c r="I5" s="57"/>
      <c r="J5" s="5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9"/>
      <c r="AD5" s="9"/>
      <c r="AE5" s="9"/>
      <c r="AF5" s="9"/>
      <c r="AG5" s="78"/>
      <c r="AH5" s="78"/>
      <c r="AI5" s="78"/>
      <c r="AJ5" s="80" t="s">
        <v>59</v>
      </c>
      <c r="AK5" s="6"/>
    </row>
    <row r="6" spans="2:37" ht="9.75" customHeight="1">
      <c r="B6" s="4"/>
      <c r="C6" s="57"/>
      <c r="D6" s="57"/>
      <c r="E6" s="57"/>
      <c r="F6" s="57"/>
      <c r="G6" s="57"/>
      <c r="H6" s="57"/>
      <c r="I6" s="57"/>
      <c r="J6" s="57"/>
      <c r="K6" s="9"/>
      <c r="L6" s="9"/>
      <c r="M6" s="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78"/>
      <c r="AH6" s="5"/>
      <c r="AI6" s="5"/>
      <c r="AJ6" s="81" t="s">
        <v>60</v>
      </c>
      <c r="AK6" s="6"/>
    </row>
    <row r="7" spans="2:37" ht="9.75" customHeight="1">
      <c r="B7" s="4"/>
      <c r="C7" s="57"/>
      <c r="D7" s="57"/>
      <c r="E7" s="57"/>
      <c r="F7" s="57"/>
      <c r="G7" s="57"/>
      <c r="H7" s="57"/>
      <c r="I7" s="57"/>
      <c r="J7" s="57"/>
      <c r="K7" s="9"/>
      <c r="L7" s="9"/>
      <c r="M7" s="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78"/>
      <c r="AH7" s="5"/>
      <c r="AI7" s="5"/>
      <c r="AJ7" s="81" t="s">
        <v>61</v>
      </c>
      <c r="AK7" s="6"/>
    </row>
    <row r="8" spans="2:37" ht="9.75" customHeight="1">
      <c r="B8" s="4"/>
      <c r="C8" s="57"/>
      <c r="D8" s="57"/>
      <c r="E8" s="57"/>
      <c r="F8" s="57"/>
      <c r="G8" s="57"/>
      <c r="H8" s="57"/>
      <c r="I8" s="57"/>
      <c r="J8" s="57"/>
      <c r="K8" s="9"/>
      <c r="L8" s="9"/>
      <c r="M8" s="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8"/>
      <c r="AH8" s="5"/>
      <c r="AI8" s="5"/>
      <c r="AJ8" s="81" t="s">
        <v>72</v>
      </c>
      <c r="AK8" s="6"/>
    </row>
    <row r="9" spans="2:37" ht="9.75" customHeight="1">
      <c r="B9" s="4"/>
      <c r="C9" s="57"/>
      <c r="D9" s="57"/>
      <c r="E9" s="57"/>
      <c r="F9" s="57"/>
      <c r="G9" s="57"/>
      <c r="H9" s="57"/>
      <c r="I9" s="57"/>
      <c r="J9" s="57"/>
      <c r="K9" s="9"/>
      <c r="L9" s="9"/>
      <c r="M9" s="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78"/>
      <c r="AH9" s="5"/>
      <c r="AI9" s="5"/>
      <c r="AJ9" s="81" t="s">
        <v>59</v>
      </c>
      <c r="AK9" s="6"/>
    </row>
    <row r="10" spans="2:37" ht="9.75" customHeight="1">
      <c r="B10" s="4"/>
      <c r="C10" s="57"/>
      <c r="D10" s="57"/>
      <c r="E10" s="57"/>
      <c r="F10" s="57"/>
      <c r="G10" s="57"/>
      <c r="H10" s="57"/>
      <c r="I10" s="57"/>
      <c r="J10" s="57"/>
      <c r="K10" s="9"/>
      <c r="L10" s="9"/>
      <c r="M10" s="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78"/>
      <c r="AH10" s="5"/>
      <c r="AI10" s="5"/>
      <c r="AJ10" s="81" t="s">
        <v>60</v>
      </c>
      <c r="AK10" s="6"/>
    </row>
    <row r="11" spans="2:37" ht="9.75" customHeight="1">
      <c r="B11" s="4"/>
      <c r="C11" s="57"/>
      <c r="D11" s="57"/>
      <c r="E11" s="57"/>
      <c r="F11" s="57"/>
      <c r="G11" s="57"/>
      <c r="H11" s="57"/>
      <c r="I11" s="57"/>
      <c r="J11" s="57"/>
      <c r="K11" s="9"/>
      <c r="L11" s="9"/>
      <c r="M11" s="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78"/>
      <c r="AH11" s="5"/>
      <c r="AI11" s="5"/>
      <c r="AJ11" s="81" t="s">
        <v>73</v>
      </c>
      <c r="AK11" s="6"/>
    </row>
    <row r="12" spans="2:37" ht="9.75" customHeight="1">
      <c r="B12" s="4"/>
      <c r="C12" s="57"/>
      <c r="D12" s="57"/>
      <c r="E12" s="57"/>
      <c r="F12" s="57"/>
      <c r="G12" s="57"/>
      <c r="H12" s="57"/>
      <c r="I12" s="57"/>
      <c r="J12" s="57"/>
      <c r="K12" s="9"/>
      <c r="L12" s="9"/>
      <c r="M12" s="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78"/>
      <c r="AH12" s="5"/>
      <c r="AI12" s="5"/>
      <c r="AJ12" s="5"/>
      <c r="AK12" s="6"/>
    </row>
    <row r="13" spans="2:37" ht="9.75" customHeight="1">
      <c r="B13" s="4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"/>
      <c r="AE13" s="5"/>
      <c r="AF13" s="5"/>
      <c r="AG13" s="5"/>
      <c r="AH13" s="5"/>
      <c r="AI13" s="5"/>
      <c r="AJ13" s="83" t="s">
        <v>74</v>
      </c>
      <c r="AK13" s="6"/>
    </row>
    <row r="14" spans="2:37" ht="12" customHeight="1">
      <c r="B14" s="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9"/>
      <c r="AE14" s="53"/>
      <c r="AF14" s="53"/>
      <c r="AG14" s="53"/>
      <c r="AH14" s="53"/>
      <c r="AI14" s="53"/>
      <c r="AJ14" s="53"/>
      <c r="AK14" s="6"/>
    </row>
    <row r="15" spans="2:37" ht="12" customHeight="1">
      <c r="B15" s="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9"/>
      <c r="AE15" s="53"/>
      <c r="AF15" s="53"/>
      <c r="AG15" s="53"/>
      <c r="AH15" s="53"/>
      <c r="AI15" s="53"/>
      <c r="AJ15" s="53"/>
      <c r="AK15" s="6"/>
    </row>
    <row r="16" spans="2:37" ht="12" customHeight="1">
      <c r="B16" s="4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76"/>
      <c r="V16" s="5"/>
      <c r="W16" s="5"/>
      <c r="X16" s="5"/>
      <c r="Y16" s="5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73"/>
      <c r="AK16" s="6"/>
    </row>
    <row r="17" spans="2:49" ht="12" customHeight="1">
      <c r="B17" s="4"/>
      <c r="C17" s="118" t="s">
        <v>62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77"/>
      <c r="V17" s="5"/>
      <c r="W17" s="5"/>
      <c r="X17" s="5"/>
      <c r="Y17" s="5"/>
      <c r="Z17" s="118" t="s">
        <v>62</v>
      </c>
      <c r="AA17" s="118"/>
      <c r="AB17" s="118"/>
      <c r="AC17" s="118"/>
      <c r="AD17" s="118"/>
      <c r="AE17" s="118"/>
      <c r="AF17" s="118"/>
      <c r="AG17" s="118"/>
      <c r="AH17" s="118"/>
      <c r="AI17" s="118"/>
      <c r="AJ17" s="53"/>
      <c r="AK17" s="6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86"/>
    </row>
    <row r="18" spans="2:49" ht="12" customHeight="1"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"/>
      <c r="O18" s="5"/>
      <c r="P18" s="5"/>
      <c r="Q18" s="5"/>
      <c r="R18" s="5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5"/>
      <c r="AG18" s="5"/>
      <c r="AH18" s="5"/>
      <c r="AI18" s="5"/>
      <c r="AJ18" s="5"/>
      <c r="AK18" s="6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86"/>
    </row>
    <row r="19" spans="2:49" ht="12" customHeight="1">
      <c r="B19" s="4"/>
      <c r="C19" s="54" t="s">
        <v>63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5"/>
      <c r="O19" s="5"/>
      <c r="P19" s="5"/>
      <c r="Q19" s="5"/>
      <c r="R19" s="5"/>
      <c r="S19" s="67"/>
      <c r="T19" s="67"/>
      <c r="U19" s="67"/>
      <c r="V19" s="7"/>
      <c r="W19" s="7"/>
      <c r="X19" s="7"/>
      <c r="Y19" s="7"/>
      <c r="Z19" s="67" t="s">
        <v>50</v>
      </c>
      <c r="AA19" s="5"/>
      <c r="AB19" s="65"/>
      <c r="AC19" s="65"/>
      <c r="AD19" s="65"/>
      <c r="AE19" s="65"/>
      <c r="AF19" s="65"/>
      <c r="AG19" s="65"/>
      <c r="AH19" s="65"/>
      <c r="AI19" s="65"/>
      <c r="AJ19" s="65"/>
      <c r="AK19" s="6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86"/>
    </row>
    <row r="20" spans="2:37" ht="12" customHeight="1">
      <c r="B20" s="4"/>
      <c r="C20" s="54" t="s">
        <v>65</v>
      </c>
      <c r="D20" s="9"/>
      <c r="E20" s="9"/>
      <c r="F20" s="9"/>
      <c r="G20" s="9"/>
      <c r="H20" s="9"/>
      <c r="I20" s="9"/>
      <c r="J20" s="9"/>
      <c r="K20" s="9"/>
      <c r="L20" s="67"/>
      <c r="M20" s="67"/>
      <c r="N20" s="5"/>
      <c r="O20" s="5"/>
      <c r="P20" s="5"/>
      <c r="Q20" s="5"/>
      <c r="R20" s="5"/>
      <c r="S20" s="67"/>
      <c r="T20" s="67"/>
      <c r="U20" s="67"/>
      <c r="V20" s="7"/>
      <c r="W20" s="7"/>
      <c r="X20" s="7"/>
      <c r="Y20" s="7"/>
      <c r="Z20" s="87" t="s">
        <v>51</v>
      </c>
      <c r="AA20" s="55"/>
      <c r="AB20" s="65"/>
      <c r="AC20" s="65"/>
      <c r="AD20" s="65"/>
      <c r="AE20" s="65"/>
      <c r="AF20" s="65"/>
      <c r="AG20" s="65"/>
      <c r="AH20" s="65"/>
      <c r="AI20" s="65"/>
      <c r="AJ20" s="65"/>
      <c r="AK20" s="6"/>
    </row>
    <row r="21" spans="2:37" ht="12" customHeight="1">
      <c r="B21" s="4"/>
      <c r="C21" s="141">
        <f ca="1">TODAY()</f>
        <v>44272</v>
      </c>
      <c r="D21" s="141"/>
      <c r="E21" s="141"/>
      <c r="F21" s="141"/>
      <c r="G21" s="141"/>
      <c r="H21" s="141"/>
      <c r="I21" s="68"/>
      <c r="J21" s="68"/>
      <c r="K21" s="68"/>
      <c r="L21" s="68"/>
      <c r="M21" s="72"/>
      <c r="N21" s="69"/>
      <c r="O21" s="72"/>
      <c r="P21" s="78"/>
      <c r="Q21" s="69"/>
      <c r="R21" s="69"/>
      <c r="S21" s="56"/>
      <c r="T21" s="56"/>
      <c r="U21" s="56"/>
      <c r="V21" s="7"/>
      <c r="W21" s="7"/>
      <c r="X21" s="7"/>
      <c r="Y21" s="7"/>
      <c r="Z21" s="88" t="s">
        <v>64</v>
      </c>
      <c r="AA21" s="5"/>
      <c r="AB21" s="65"/>
      <c r="AC21" s="65"/>
      <c r="AD21" s="65"/>
      <c r="AE21" s="65"/>
      <c r="AF21" s="5"/>
      <c r="AG21" s="5"/>
      <c r="AH21" s="5"/>
      <c r="AI21" s="5"/>
      <c r="AJ21" s="5"/>
      <c r="AK21" s="6"/>
    </row>
    <row r="22" spans="2:49" ht="12" customHeight="1">
      <c r="B22" s="4"/>
      <c r="C22" s="54"/>
      <c r="D22" s="9"/>
      <c r="E22" s="9"/>
      <c r="F22" s="9"/>
      <c r="G22" s="9"/>
      <c r="H22" s="9"/>
      <c r="I22" s="9"/>
      <c r="J22" s="9"/>
      <c r="K22" s="9"/>
      <c r="L22" s="9"/>
      <c r="M22" s="9"/>
      <c r="N22" s="5"/>
      <c r="O22" s="5"/>
      <c r="P22" s="5"/>
      <c r="Q22" s="5"/>
      <c r="R22" s="5"/>
      <c r="S22" s="56"/>
      <c r="T22" s="56"/>
      <c r="U22" s="56"/>
      <c r="V22" s="7"/>
      <c r="W22" s="7"/>
      <c r="X22" s="7"/>
      <c r="Y22" s="7"/>
      <c r="Z22" s="141">
        <f ca="1">TODAY()</f>
        <v>44272</v>
      </c>
      <c r="AA22" s="141"/>
      <c r="AB22" s="141"/>
      <c r="AC22" s="141"/>
      <c r="AD22" s="141"/>
      <c r="AE22" s="141"/>
      <c r="AF22" s="68"/>
      <c r="AG22" s="68"/>
      <c r="AH22" s="72"/>
      <c r="AI22" s="69"/>
      <c r="AJ22" s="65"/>
      <c r="AK22" s="6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86"/>
    </row>
    <row r="23" spans="2:49" ht="12" customHeight="1">
      <c r="B23" s="4"/>
      <c r="C23" s="54"/>
      <c r="D23" s="9"/>
      <c r="E23" s="9"/>
      <c r="F23" s="9"/>
      <c r="G23" s="9"/>
      <c r="H23" s="9"/>
      <c r="I23" s="9"/>
      <c r="J23" s="9"/>
      <c r="K23" s="9"/>
      <c r="L23" s="9"/>
      <c r="M23" s="9"/>
      <c r="N23" s="5"/>
      <c r="O23" s="5"/>
      <c r="P23" s="5"/>
      <c r="Q23" s="5"/>
      <c r="R23" s="5"/>
      <c r="S23" s="56"/>
      <c r="T23" s="56"/>
      <c r="U23" s="56"/>
      <c r="V23" s="7"/>
      <c r="W23" s="7"/>
      <c r="X23" s="7"/>
      <c r="Y23" s="7"/>
      <c r="Z23" s="7"/>
      <c r="AA23" s="55"/>
      <c r="AB23" s="55"/>
      <c r="AC23" s="55"/>
      <c r="AD23" s="66"/>
      <c r="AE23" s="66"/>
      <c r="AF23" s="66"/>
      <c r="AG23" s="66"/>
      <c r="AH23" s="66"/>
      <c r="AI23" s="66"/>
      <c r="AJ23" s="66"/>
      <c r="AK23" s="6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86"/>
    </row>
    <row r="24" spans="2:37" ht="12" customHeight="1">
      <c r="B24" s="4"/>
      <c r="C24" s="119" t="s">
        <v>66</v>
      </c>
      <c r="D24" s="120"/>
      <c r="E24" s="120"/>
      <c r="F24" s="120"/>
      <c r="G24" s="120"/>
      <c r="H24" s="120"/>
      <c r="I24" s="120"/>
      <c r="J24" s="120"/>
      <c r="K24" s="120"/>
      <c r="L24" s="121"/>
      <c r="M24" s="128" t="s">
        <v>75</v>
      </c>
      <c r="N24" s="129"/>
      <c r="O24" s="129"/>
      <c r="P24" s="129"/>
      <c r="Q24" s="129"/>
      <c r="R24" s="129"/>
      <c r="S24" s="129"/>
      <c r="T24" s="130"/>
      <c r="U24" s="78"/>
      <c r="V24" s="78"/>
      <c r="W24" s="78"/>
      <c r="X24" s="78"/>
      <c r="Y24" s="7"/>
      <c r="Z24" s="7"/>
      <c r="AA24" s="55"/>
      <c r="AB24" s="55"/>
      <c r="AC24" s="55"/>
      <c r="AD24" s="65"/>
      <c r="AE24" s="65"/>
      <c r="AF24" s="65"/>
      <c r="AG24" s="65"/>
      <c r="AH24" s="65"/>
      <c r="AI24" s="65"/>
      <c r="AJ24" s="5"/>
      <c r="AK24" s="6"/>
    </row>
    <row r="25" spans="2:37" ht="12" customHeight="1">
      <c r="B25" s="4"/>
      <c r="C25" s="122"/>
      <c r="D25" s="123"/>
      <c r="E25" s="123"/>
      <c r="F25" s="123"/>
      <c r="G25" s="123"/>
      <c r="H25" s="123"/>
      <c r="I25" s="123"/>
      <c r="J25" s="123"/>
      <c r="K25" s="123"/>
      <c r="L25" s="124"/>
      <c r="M25" s="131"/>
      <c r="N25" s="132"/>
      <c r="O25" s="132"/>
      <c r="P25" s="132"/>
      <c r="Q25" s="132"/>
      <c r="R25" s="132"/>
      <c r="S25" s="132"/>
      <c r="T25" s="133"/>
      <c r="U25" s="78"/>
      <c r="V25" s="78"/>
      <c r="W25" s="78"/>
      <c r="X25" s="78"/>
      <c r="Y25" s="7"/>
      <c r="Z25" s="107" t="s">
        <v>52</v>
      </c>
      <c r="AA25" s="107"/>
      <c r="AB25" s="107"/>
      <c r="AC25" s="108"/>
      <c r="AD25" s="108"/>
      <c r="AE25" s="108"/>
      <c r="AF25" s="108"/>
      <c r="AG25" s="108"/>
      <c r="AH25" s="108"/>
      <c r="AI25" s="108"/>
      <c r="AJ25" s="108"/>
      <c r="AK25" s="6"/>
    </row>
    <row r="26" spans="2:49" ht="18.75" customHeight="1">
      <c r="B26" s="4"/>
      <c r="C26" s="54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  <c r="O26" s="5"/>
      <c r="P26" s="5"/>
      <c r="Q26" s="5"/>
      <c r="R26" s="5"/>
      <c r="S26" s="7"/>
      <c r="T26" s="7"/>
      <c r="U26" s="7"/>
      <c r="V26" s="7"/>
      <c r="W26" s="7"/>
      <c r="X26" s="7"/>
      <c r="Y26" s="7"/>
      <c r="Z26" s="55"/>
      <c r="AA26" s="113" t="s">
        <v>69</v>
      </c>
      <c r="AB26" s="113"/>
      <c r="AC26" s="113"/>
      <c r="AD26" s="113"/>
      <c r="AE26" s="113"/>
      <c r="AF26" s="113"/>
      <c r="AG26" s="113"/>
      <c r="AH26" s="113"/>
      <c r="AI26" s="113"/>
      <c r="AJ26" s="113"/>
      <c r="AK26" s="6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86"/>
    </row>
    <row r="27" spans="2:37" ht="12" customHeight="1">
      <c r="B27" s="4"/>
      <c r="C27" s="107" t="s">
        <v>52</v>
      </c>
      <c r="D27" s="107"/>
      <c r="E27" s="107"/>
      <c r="F27" s="107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7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6"/>
    </row>
    <row r="28" spans="2:37" ht="11.25" customHeight="1">
      <c r="B28" s="4"/>
      <c r="C28" s="55"/>
      <c r="D28" s="55"/>
      <c r="E28" s="55"/>
      <c r="F28" s="55"/>
      <c r="G28" s="135" t="s">
        <v>70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5"/>
      <c r="Z28" s="55"/>
      <c r="AA28" s="55"/>
      <c r="AB28" s="55"/>
      <c r="AC28" s="74"/>
      <c r="AD28" s="74"/>
      <c r="AE28" s="74"/>
      <c r="AF28" s="74"/>
      <c r="AG28" s="74"/>
      <c r="AH28" s="74"/>
      <c r="AI28" s="74"/>
      <c r="AJ28" s="74"/>
      <c r="AK28" s="6"/>
    </row>
    <row r="29" spans="2:37" ht="12" customHeight="1">
      <c r="B29" s="4"/>
      <c r="C29" s="107" t="s">
        <v>0</v>
      </c>
      <c r="D29" s="107"/>
      <c r="E29" s="107"/>
      <c r="F29" s="107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58"/>
      <c r="Z29" s="107" t="s">
        <v>0</v>
      </c>
      <c r="AA29" s="107"/>
      <c r="AB29" s="107"/>
      <c r="AC29" s="106"/>
      <c r="AD29" s="106"/>
      <c r="AE29" s="106"/>
      <c r="AF29" s="106"/>
      <c r="AG29" s="106"/>
      <c r="AH29" s="106"/>
      <c r="AI29" s="106"/>
      <c r="AJ29" s="106"/>
      <c r="AK29" s="6"/>
    </row>
    <row r="30" spans="2:37" ht="12" customHeight="1">
      <c r="B30" s="4"/>
      <c r="C30" s="107" t="s">
        <v>53</v>
      </c>
      <c r="D30" s="107"/>
      <c r="E30" s="107"/>
      <c r="F30" s="107"/>
      <c r="G30" s="126"/>
      <c r="H30" s="126"/>
      <c r="I30" s="126"/>
      <c r="J30" s="5" t="s">
        <v>55</v>
      </c>
      <c r="K30" s="107" t="s">
        <v>53</v>
      </c>
      <c r="L30" s="107"/>
      <c r="M30" s="107"/>
      <c r="N30" s="107"/>
      <c r="O30" s="138"/>
      <c r="P30" s="138"/>
      <c r="Q30" s="138"/>
      <c r="R30" s="138"/>
      <c r="S30" s="5" t="s">
        <v>2</v>
      </c>
      <c r="T30" s="78"/>
      <c r="U30" s="138"/>
      <c r="V30" s="138"/>
      <c r="W30" s="138"/>
      <c r="X30" s="5" t="s">
        <v>76</v>
      </c>
      <c r="Y30" s="15"/>
      <c r="Z30" s="107" t="s">
        <v>53</v>
      </c>
      <c r="AA30" s="107"/>
      <c r="AB30" s="107"/>
      <c r="AC30" s="107"/>
      <c r="AD30" s="114"/>
      <c r="AE30" s="114"/>
      <c r="AF30" s="5" t="s">
        <v>55</v>
      </c>
      <c r="AG30" s="78"/>
      <c r="AH30" s="84"/>
      <c r="AI30" s="84"/>
      <c r="AJ30" s="78"/>
      <c r="AK30" s="6"/>
    </row>
    <row r="31" spans="2:37" ht="12" customHeight="1">
      <c r="B31" s="4"/>
      <c r="C31" s="55"/>
      <c r="D31" s="55"/>
      <c r="E31" s="55"/>
      <c r="F31" s="55"/>
      <c r="G31" s="75"/>
      <c r="H31" s="75"/>
      <c r="I31" s="75"/>
      <c r="J31" s="5"/>
      <c r="K31" s="55"/>
      <c r="L31" s="55"/>
      <c r="M31" s="55"/>
      <c r="N31" s="55"/>
      <c r="O31" s="139" t="s">
        <v>68</v>
      </c>
      <c r="P31" s="139"/>
      <c r="Q31" s="139"/>
      <c r="R31" s="139"/>
      <c r="S31" s="5"/>
      <c r="T31" s="78"/>
      <c r="U31" s="139" t="s">
        <v>68</v>
      </c>
      <c r="V31" s="139"/>
      <c r="W31" s="139"/>
      <c r="X31" s="78"/>
      <c r="Y31" s="15"/>
      <c r="Z31" s="107" t="s">
        <v>53</v>
      </c>
      <c r="AA31" s="107"/>
      <c r="AB31" s="107"/>
      <c r="AC31" s="137"/>
      <c r="AD31" s="137"/>
      <c r="AE31" s="137"/>
      <c r="AF31" s="5" t="s">
        <v>2</v>
      </c>
      <c r="AG31" s="78"/>
      <c r="AH31" s="137"/>
      <c r="AI31" s="137"/>
      <c r="AJ31" s="5" t="s">
        <v>76</v>
      </c>
      <c r="AK31" s="6"/>
    </row>
    <row r="32" spans="2:37" ht="12" customHeight="1">
      <c r="B32" s="4"/>
      <c r="C32" s="107" t="s">
        <v>54</v>
      </c>
      <c r="D32" s="107"/>
      <c r="E32" s="107"/>
      <c r="F32" s="107"/>
      <c r="G32" s="115" t="str">
        <f>IF(AR170=0,AR169,AM172)</f>
        <v>Ноль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59"/>
      <c r="Z32" s="78"/>
      <c r="AA32" s="78"/>
      <c r="AB32" s="78"/>
      <c r="AC32" s="139" t="s">
        <v>68</v>
      </c>
      <c r="AD32" s="139"/>
      <c r="AE32" s="139"/>
      <c r="AF32" s="78"/>
      <c r="AG32" s="78"/>
      <c r="AH32" s="140" t="s">
        <v>68</v>
      </c>
      <c r="AI32" s="140"/>
      <c r="AJ32" s="140"/>
      <c r="AK32" s="6"/>
    </row>
    <row r="33" spans="2:37" ht="12" customHeight="1">
      <c r="B33" s="4"/>
      <c r="C33" s="55"/>
      <c r="D33" s="55"/>
      <c r="E33" s="55"/>
      <c r="F33" s="55"/>
      <c r="G33" s="139" t="s">
        <v>1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58"/>
      <c r="Z33" s="107" t="s">
        <v>54</v>
      </c>
      <c r="AA33" s="107"/>
      <c r="AB33" s="107"/>
      <c r="AC33" s="107"/>
      <c r="AD33" s="108">
        <f>AO172</f>
      </c>
      <c r="AE33" s="108"/>
      <c r="AF33" s="108"/>
      <c r="AG33" s="108"/>
      <c r="AH33" s="108"/>
      <c r="AI33" s="108"/>
      <c r="AJ33" s="108"/>
      <c r="AK33" s="6"/>
    </row>
    <row r="34" spans="2:37" ht="12" customHeight="1">
      <c r="B34" s="4"/>
      <c r="C34" s="55"/>
      <c r="D34" s="55"/>
      <c r="E34" s="55"/>
      <c r="F34" s="55"/>
      <c r="G34" s="115">
        <f>AM170</f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07" t="s">
        <v>2</v>
      </c>
      <c r="T34" s="107"/>
      <c r="U34" s="143" t="str">
        <f>IF(AS174="","00",IF(AS174&lt;10,AT174&amp;AS174,AS174))</f>
        <v>00</v>
      </c>
      <c r="V34" s="143"/>
      <c r="W34" s="143"/>
      <c r="X34" s="5" t="s">
        <v>76</v>
      </c>
      <c r="Y34" s="15"/>
      <c r="Z34" s="55"/>
      <c r="AA34" s="55"/>
      <c r="AB34" s="55"/>
      <c r="AC34" s="140" t="s">
        <v>1</v>
      </c>
      <c r="AD34" s="139"/>
      <c r="AE34" s="139"/>
      <c r="AF34" s="139"/>
      <c r="AG34" s="139"/>
      <c r="AH34" s="139"/>
      <c r="AI34" s="139"/>
      <c r="AJ34" s="139"/>
      <c r="AK34" s="6"/>
    </row>
    <row r="35" spans="2:37" ht="12" customHeight="1">
      <c r="B35" s="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39" t="s">
        <v>68</v>
      </c>
      <c r="V35" s="139"/>
      <c r="W35" s="139"/>
      <c r="X35" s="78"/>
      <c r="Y35" s="15"/>
      <c r="Z35" s="142">
        <f>AO170</f>
      </c>
      <c r="AA35" s="142"/>
      <c r="AB35" s="142"/>
      <c r="AC35" s="142"/>
      <c r="AD35" s="142"/>
      <c r="AE35" s="142"/>
      <c r="AF35" s="142"/>
      <c r="AG35" s="55" t="s">
        <v>2</v>
      </c>
      <c r="AH35" s="137" t="str">
        <f>U34</f>
        <v>00</v>
      </c>
      <c r="AI35" s="137"/>
      <c r="AJ35" s="5" t="s">
        <v>76</v>
      </c>
      <c r="AK35" s="6"/>
    </row>
    <row r="36" spans="2:37" ht="12" customHeight="1">
      <c r="B36" s="4"/>
      <c r="C36" s="15" t="s">
        <v>3</v>
      </c>
      <c r="D36" s="15"/>
      <c r="E36" s="15"/>
      <c r="F36" s="15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5"/>
      <c r="Z36" s="15"/>
      <c r="AA36" s="15"/>
      <c r="AB36" s="15"/>
      <c r="AC36" s="15"/>
      <c r="AD36" s="15"/>
      <c r="AE36" s="15"/>
      <c r="AF36" s="15"/>
      <c r="AG36" s="15"/>
      <c r="AH36" s="140" t="s">
        <v>68</v>
      </c>
      <c r="AI36" s="140"/>
      <c r="AJ36" s="140"/>
      <c r="AK36" s="6"/>
    </row>
    <row r="37" spans="2:37" ht="12" customHeight="1">
      <c r="B37" s="4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15"/>
      <c r="Y37" s="15"/>
      <c r="Z37" s="16" t="s">
        <v>4</v>
      </c>
      <c r="AA37" s="16"/>
      <c r="AB37" s="16"/>
      <c r="AC37" s="16"/>
      <c r="AD37" s="62"/>
      <c r="AE37" s="125"/>
      <c r="AF37" s="125"/>
      <c r="AG37" s="62"/>
      <c r="AH37" s="112"/>
      <c r="AI37" s="112"/>
      <c r="AJ37" s="112"/>
      <c r="AK37" s="6"/>
    </row>
    <row r="38" spans="2:37" ht="17.25" customHeight="1">
      <c r="B38" s="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15"/>
      <c r="Y38" s="15"/>
      <c r="Z38" s="16"/>
      <c r="AA38" s="16"/>
      <c r="AB38" s="16"/>
      <c r="AC38" s="16"/>
      <c r="AD38" s="109" t="s">
        <v>5</v>
      </c>
      <c r="AE38" s="109"/>
      <c r="AF38" s="109"/>
      <c r="AG38" s="109"/>
      <c r="AH38" s="110" t="s">
        <v>67</v>
      </c>
      <c r="AI38" s="110"/>
      <c r="AJ38" s="110"/>
      <c r="AK38" s="6"/>
    </row>
    <row r="39" spans="2:37" ht="12" customHeight="1">
      <c r="B39" s="4"/>
      <c r="C39" s="16" t="s">
        <v>4</v>
      </c>
      <c r="D39" s="16"/>
      <c r="E39" s="16"/>
      <c r="F39" s="16"/>
      <c r="G39" s="16"/>
      <c r="H39" s="16"/>
      <c r="I39" s="16"/>
      <c r="J39" s="125"/>
      <c r="K39" s="125"/>
      <c r="L39" s="125"/>
      <c r="M39" s="125"/>
      <c r="N39" s="125"/>
      <c r="O39" s="62"/>
      <c r="P39" s="125"/>
      <c r="Q39" s="125"/>
      <c r="R39" s="125"/>
      <c r="S39" s="125"/>
      <c r="T39" s="125"/>
      <c r="U39" s="125"/>
      <c r="V39" s="125"/>
      <c r="W39" s="125"/>
      <c r="X39" s="125"/>
      <c r="Y39" s="17"/>
      <c r="Z39" s="16"/>
      <c r="AA39" s="16"/>
      <c r="AB39" s="16"/>
      <c r="AC39" s="16"/>
      <c r="AD39" s="62"/>
      <c r="AE39" s="62"/>
      <c r="AF39" s="62"/>
      <c r="AG39" s="62"/>
      <c r="AH39" s="62"/>
      <c r="AI39" s="62"/>
      <c r="AJ39" s="62"/>
      <c r="AK39" s="6"/>
    </row>
    <row r="40" spans="2:37" ht="12" customHeight="1">
      <c r="B40" s="4"/>
      <c r="C40" s="16"/>
      <c r="D40" s="16"/>
      <c r="E40" s="16"/>
      <c r="F40" s="16"/>
      <c r="G40" s="16"/>
      <c r="H40" s="16"/>
      <c r="I40" s="16"/>
      <c r="J40" s="110" t="s">
        <v>5</v>
      </c>
      <c r="K40" s="110"/>
      <c r="L40" s="110"/>
      <c r="M40" s="110"/>
      <c r="N40" s="110"/>
      <c r="O40" s="11"/>
      <c r="P40" s="109" t="s">
        <v>67</v>
      </c>
      <c r="Q40" s="109"/>
      <c r="R40" s="109"/>
      <c r="S40" s="109"/>
      <c r="T40" s="109"/>
      <c r="U40" s="109"/>
      <c r="V40" s="109"/>
      <c r="W40" s="109"/>
      <c r="X40" s="109"/>
      <c r="Y40" s="58"/>
      <c r="Z40" s="17" t="s">
        <v>56</v>
      </c>
      <c r="AA40" s="17"/>
      <c r="AB40" s="17"/>
      <c r="AC40" s="17"/>
      <c r="AD40" s="62"/>
      <c r="AE40" s="125"/>
      <c r="AF40" s="125"/>
      <c r="AG40" s="62"/>
      <c r="AH40" s="127"/>
      <c r="AI40" s="127"/>
      <c r="AJ40" s="127"/>
      <c r="AK40" s="6"/>
    </row>
    <row r="41" spans="2:37" ht="19.5" customHeight="1">
      <c r="B41" s="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7"/>
      <c r="AA41" s="17"/>
      <c r="AB41" s="17"/>
      <c r="AC41" s="17"/>
      <c r="AD41" s="109" t="s">
        <v>5</v>
      </c>
      <c r="AE41" s="109"/>
      <c r="AF41" s="109"/>
      <c r="AG41" s="109"/>
      <c r="AH41" s="109" t="s">
        <v>67</v>
      </c>
      <c r="AI41" s="109"/>
      <c r="AJ41" s="109"/>
      <c r="AK41" s="6"/>
    </row>
    <row r="42" spans="2:37" ht="12" customHeight="1">
      <c r="B42" s="4"/>
      <c r="C42" s="17" t="s">
        <v>56</v>
      </c>
      <c r="D42" s="17"/>
      <c r="E42" s="17"/>
      <c r="F42" s="17"/>
      <c r="G42" s="17"/>
      <c r="H42" s="17"/>
      <c r="I42" s="17"/>
      <c r="J42" s="125"/>
      <c r="K42" s="125"/>
      <c r="L42" s="125"/>
      <c r="M42" s="125"/>
      <c r="N42" s="125"/>
      <c r="O42" s="62"/>
      <c r="P42" s="125"/>
      <c r="Q42" s="125"/>
      <c r="R42" s="125"/>
      <c r="S42" s="125"/>
      <c r="T42" s="125"/>
      <c r="U42" s="125"/>
      <c r="V42" s="125"/>
      <c r="W42" s="125"/>
      <c r="X42" s="125"/>
      <c r="Y42" s="17"/>
      <c r="Z42" s="17"/>
      <c r="AA42" s="17"/>
      <c r="AB42" s="17"/>
      <c r="AC42" s="17"/>
      <c r="AD42" s="62"/>
      <c r="AE42" s="62"/>
      <c r="AF42" s="62"/>
      <c r="AG42" s="62"/>
      <c r="AH42" s="62"/>
      <c r="AI42" s="62"/>
      <c r="AJ42" s="62"/>
      <c r="AK42" s="6"/>
    </row>
    <row r="43" spans="2:37" ht="12" customHeight="1">
      <c r="B43" s="4"/>
      <c r="C43" s="17"/>
      <c r="D43" s="17"/>
      <c r="E43" s="17"/>
      <c r="F43" s="17"/>
      <c r="G43" s="17"/>
      <c r="H43" s="17"/>
      <c r="I43" s="17"/>
      <c r="J43" s="110" t="s">
        <v>5</v>
      </c>
      <c r="K43" s="110"/>
      <c r="L43" s="110"/>
      <c r="M43" s="110"/>
      <c r="N43" s="110"/>
      <c r="O43" s="11"/>
      <c r="P43" s="110" t="s">
        <v>67</v>
      </c>
      <c r="Q43" s="110"/>
      <c r="R43" s="110"/>
      <c r="S43" s="110"/>
      <c r="T43" s="110"/>
      <c r="U43" s="110"/>
      <c r="V43" s="110"/>
      <c r="W43" s="110"/>
      <c r="X43" s="110"/>
      <c r="Y43" s="58"/>
      <c r="Z43" s="17"/>
      <c r="AA43" s="17"/>
      <c r="AB43" s="17"/>
      <c r="AC43" s="17"/>
      <c r="AD43" s="71"/>
      <c r="AE43" s="71"/>
      <c r="AF43" s="71"/>
      <c r="AG43" s="71"/>
      <c r="AH43" s="71"/>
      <c r="AI43" s="71"/>
      <c r="AJ43" s="71"/>
      <c r="AK43" s="6"/>
    </row>
    <row r="44" spans="2:37" ht="12" customHeight="1">
      <c r="B44" s="4"/>
      <c r="C44" s="17"/>
      <c r="D44" s="17"/>
      <c r="E44" s="17"/>
      <c r="F44" s="17"/>
      <c r="G44" s="17"/>
      <c r="H44" s="17"/>
      <c r="I44" s="17"/>
      <c r="J44" s="70"/>
      <c r="K44" s="70"/>
      <c r="L44" s="70"/>
      <c r="M44" s="70"/>
      <c r="N44" s="11"/>
      <c r="O44" s="11"/>
      <c r="P44" s="70"/>
      <c r="Q44" s="70"/>
      <c r="R44" s="70"/>
      <c r="S44" s="70"/>
      <c r="T44" s="70"/>
      <c r="U44" s="70"/>
      <c r="V44" s="70"/>
      <c r="W44" s="70"/>
      <c r="X44" s="70"/>
      <c r="Y44" s="58"/>
      <c r="Z44" s="58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6"/>
    </row>
    <row r="45" spans="2:37" ht="12" customHeight="1">
      <c r="B45" s="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6"/>
    </row>
    <row r="46" spans="2:37" ht="12" customHeight="1" thickBot="1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4"/>
    </row>
    <row r="159" spans="38:49" ht="12" customHeight="1"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89"/>
    </row>
    <row r="160" spans="38:49" ht="12" customHeight="1"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89"/>
    </row>
    <row r="161" spans="38:49" ht="12" customHeight="1"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89"/>
    </row>
    <row r="162" spans="38:49" ht="12" customHeight="1"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89"/>
    </row>
    <row r="163" spans="38:49" ht="12" customHeight="1"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89"/>
    </row>
    <row r="164" spans="38:49" ht="12" customHeight="1"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89"/>
    </row>
    <row r="165" spans="38:49" ht="12" customHeight="1">
      <c r="AL165" s="93"/>
      <c r="AM165" s="93"/>
      <c r="AN165" s="93"/>
      <c r="AO165" s="93" t="e">
        <f>IF(AP186&lt;64,0,IF(AO173&lt;=64,0,FIND(" ",AR187,64)))</f>
        <v>#VALUE!</v>
      </c>
      <c r="AP165" s="93"/>
      <c r="AQ165" s="93"/>
      <c r="AR165" s="93"/>
      <c r="AS165" s="93"/>
      <c r="AT165" s="93"/>
      <c r="AU165" s="93"/>
      <c r="AV165" s="93"/>
      <c r="AW165" s="89"/>
    </row>
    <row r="166" spans="38:49" ht="12" customHeight="1">
      <c r="AL166" s="93"/>
      <c r="AM166" s="93"/>
      <c r="AN166" s="93"/>
      <c r="AO166" s="93">
        <f>IF(AO170="","",IF(AO167&lt;=AO168,"",MID(AR187,AO168+1,43)))</f>
      </c>
      <c r="AP166" s="93"/>
      <c r="AQ166" s="93"/>
      <c r="AR166" s="93"/>
      <c r="AS166" s="93"/>
      <c r="AT166" s="93"/>
      <c r="AU166" s="93"/>
      <c r="AV166" s="93"/>
      <c r="AW166" s="89"/>
    </row>
    <row r="167" spans="38:49" ht="12" customHeight="1">
      <c r="AL167" s="93"/>
      <c r="AM167" s="93"/>
      <c r="AN167" s="93"/>
      <c r="AO167" s="93">
        <f>LEN(AR187)</f>
        <v>0</v>
      </c>
      <c r="AP167" s="93"/>
      <c r="AQ167" s="93"/>
      <c r="AR167" s="93"/>
      <c r="AS167" s="93"/>
      <c r="AT167" s="93"/>
      <c r="AU167" s="93"/>
      <c r="AV167" s="93"/>
      <c r="AW167" s="89"/>
    </row>
    <row r="168" spans="38:49" ht="12" customHeight="1">
      <c r="AL168" s="93"/>
      <c r="AM168" s="93"/>
      <c r="AN168" s="93"/>
      <c r="AO168" s="93">
        <f>LEN(AO172)+LEN(AO170)+1</f>
        <v>1</v>
      </c>
      <c r="AP168" s="93">
        <f>LEN(AO172)</f>
        <v>0</v>
      </c>
      <c r="AQ168" s="93"/>
      <c r="AR168" s="93"/>
      <c r="AS168" s="93"/>
      <c r="AT168" s="93"/>
      <c r="AU168" s="93"/>
      <c r="AV168" s="93"/>
      <c r="AW168" s="89"/>
    </row>
    <row r="169" spans="38:49" ht="12" customHeight="1">
      <c r="AL169" s="93"/>
      <c r="AM169" s="93"/>
      <c r="AN169" s="93"/>
      <c r="AO169" s="93" t="e">
        <f>AO168-AO171</f>
        <v>#VALUE!</v>
      </c>
      <c r="AP169" s="94"/>
      <c r="AQ169" s="93"/>
      <c r="AR169" s="93" t="s">
        <v>77</v>
      </c>
      <c r="AS169" s="93"/>
      <c r="AT169" s="93"/>
      <c r="AU169" s="93"/>
      <c r="AV169" s="93"/>
      <c r="AW169" s="89"/>
    </row>
    <row r="170" spans="38:49" ht="12" customHeight="1">
      <c r="AL170" s="93"/>
      <c r="AM170" s="93">
        <f>IF(AM173&lt;=AM174,"",MID(AR187,AM171+1,100))</f>
      </c>
      <c r="AN170" s="93"/>
      <c r="AO170" s="93">
        <f>IF(AO173&lt;=AO174,"",IF(AO165=0,MID(AR187,AO171+1,39),MID(AR187,AO171+1,AO165-AO171)))</f>
      </c>
      <c r="AP170" s="94"/>
      <c r="AQ170" s="93"/>
      <c r="AR170" s="95">
        <f>INT(AS170)</f>
        <v>0</v>
      </c>
      <c r="AS170" s="95">
        <f>ROUND(M25,2)</f>
        <v>0</v>
      </c>
      <c r="AT170" s="93"/>
      <c r="AU170" s="93"/>
      <c r="AV170" s="93"/>
      <c r="AW170" s="89"/>
    </row>
    <row r="171" spans="38:49" ht="12" customHeight="1">
      <c r="AL171" s="93"/>
      <c r="AM171" s="93" t="e">
        <f>FIND(" ",AR187,45)</f>
        <v>#VALUE!</v>
      </c>
      <c r="AN171" s="93"/>
      <c r="AO171" s="93" t="e">
        <f>FIND(" ",AR187,25)</f>
        <v>#VALUE!</v>
      </c>
      <c r="AP171" s="93"/>
      <c r="AQ171" s="93">
        <v>1</v>
      </c>
      <c r="AR171" s="96">
        <f>AR170-INT(AR170/10)*10</f>
        <v>0</v>
      </c>
      <c r="AS171" s="97">
        <f>ROUND((AS170-AR170)*100,0)</f>
        <v>0</v>
      </c>
      <c r="AT171" s="93"/>
      <c r="AU171" s="93"/>
      <c r="AV171" s="93"/>
      <c r="AW171" s="89"/>
    </row>
    <row r="172" spans="38:49" ht="12" customHeight="1">
      <c r="AL172" s="93"/>
      <c r="AM172" s="93">
        <f>IF(AM173&gt;AM174,LEFT(AR187,AM171-1),LEFT(AR187,50))</f>
      </c>
      <c r="AN172" s="93"/>
      <c r="AO172" s="93">
        <f>IF(AO173&gt;=AO174,LEFT(AR187,AO171-1),LEFT(AR187,30))</f>
      </c>
      <c r="AP172" s="93"/>
      <c r="AQ172" s="93">
        <v>2</v>
      </c>
      <c r="AR172" s="98">
        <f>IF(AND(AR171+AR173&gt;=11,AR171+AR173&lt;=19),AR171+AR173,0)</f>
        <v>0</v>
      </c>
      <c r="AS172" s="98">
        <f>INT(AS171)</f>
        <v>0</v>
      </c>
      <c r="AT172" s="93"/>
      <c r="AU172" s="93"/>
      <c r="AV172" s="93"/>
      <c r="AW172" s="89"/>
    </row>
    <row r="173" spans="38:49" ht="12" customHeight="1">
      <c r="AL173" s="93"/>
      <c r="AM173" s="93">
        <f>LEN(AR187)</f>
        <v>0</v>
      </c>
      <c r="AN173" s="93"/>
      <c r="AO173" s="93">
        <f>LEN(AR187)</f>
        <v>0</v>
      </c>
      <c r="AP173" s="94"/>
      <c r="AQ173" s="93">
        <v>3</v>
      </c>
      <c r="AR173" s="98">
        <f>AR170-INT(AR170/100)*100-AR171</f>
        <v>0</v>
      </c>
      <c r="AS173" s="98">
        <f>IF(AS172=0,"",AS172-INT(AS172/10)*10)</f>
      </c>
      <c r="AT173" s="93"/>
      <c r="AU173" s="93"/>
      <c r="AV173" s="93"/>
      <c r="AW173" s="89"/>
    </row>
    <row r="174" spans="38:49" ht="12" customHeight="1">
      <c r="AL174" s="93"/>
      <c r="AM174" s="93">
        <v>50</v>
      </c>
      <c r="AN174" s="93"/>
      <c r="AO174" s="93">
        <v>30</v>
      </c>
      <c r="AP174" s="94"/>
      <c r="AQ174" s="93">
        <v>4</v>
      </c>
      <c r="AR174" s="98">
        <f>AR170-INT(AR170/1000)*1000-AR173-AR171</f>
        <v>0</v>
      </c>
      <c r="AS174" s="99">
        <f>IF(AS172=0,"",AS172)</f>
      </c>
      <c r="AT174" s="93">
        <v>0</v>
      </c>
      <c r="AU174" s="93" t="s">
        <v>78</v>
      </c>
      <c r="AV174" s="93"/>
      <c r="AW174" s="89"/>
    </row>
    <row r="175" spans="38:49" ht="12" customHeight="1">
      <c r="AL175" s="93"/>
      <c r="AM175" s="93"/>
      <c r="AN175" s="93"/>
      <c r="AO175" s="93"/>
      <c r="AP175" s="93"/>
      <c r="AQ175" s="93">
        <v>5</v>
      </c>
      <c r="AR175" s="98">
        <f>AR170-INT(AR170/10000)*10000-AR173-AR171-AR174</f>
        <v>0</v>
      </c>
      <c r="AS175" s="93">
        <f>AR175/1000</f>
        <v>0</v>
      </c>
      <c r="AT175" s="93"/>
      <c r="AU175" s="93"/>
      <c r="AV175" s="93"/>
      <c r="AW175" s="89"/>
    </row>
    <row r="176" spans="38:49" ht="12" customHeight="1">
      <c r="AL176" s="93"/>
      <c r="AM176" s="93"/>
      <c r="AN176" s="93"/>
      <c r="AO176" s="93"/>
      <c r="AP176" s="93"/>
      <c r="AQ176" s="93">
        <v>6</v>
      </c>
      <c r="AR176" s="93"/>
      <c r="AS176" s="98">
        <f>IF(AND(AS175+AS177&gt;=11,AS175+AS177&lt;=19),AS175+AS177,0)</f>
        <v>0</v>
      </c>
      <c r="AT176" s="93"/>
      <c r="AU176" s="93"/>
      <c r="AV176" s="93"/>
      <c r="AW176" s="89"/>
    </row>
    <row r="177" spans="38:49" ht="12" customHeight="1">
      <c r="AL177" s="93"/>
      <c r="AM177" s="93"/>
      <c r="AN177" s="93"/>
      <c r="AO177" s="93"/>
      <c r="AP177" s="93"/>
      <c r="AQ177" s="93">
        <v>7</v>
      </c>
      <c r="AR177" s="98">
        <f>AR170-INT(AR170/100000)*100000-AR173-AR171-AR174-AR175</f>
        <v>0</v>
      </c>
      <c r="AS177" s="93">
        <f>AR177/1000</f>
        <v>0</v>
      </c>
      <c r="AT177" s="93"/>
      <c r="AU177" s="93"/>
      <c r="AV177" s="93"/>
      <c r="AW177" s="89"/>
    </row>
    <row r="178" spans="38:49" ht="12" customHeight="1">
      <c r="AL178" s="93"/>
      <c r="AM178" s="93"/>
      <c r="AN178" s="93"/>
      <c r="AO178" s="93"/>
      <c r="AP178" s="93"/>
      <c r="AQ178" s="93">
        <v>8</v>
      </c>
      <c r="AR178" s="98">
        <f>AR170-INT(AR170/1000000)*1000000-AR173-AR171-AR174-AR175-AR177</f>
        <v>0</v>
      </c>
      <c r="AS178" s="93">
        <f>AR178/1000</f>
        <v>0</v>
      </c>
      <c r="AT178" s="93"/>
      <c r="AU178" s="93"/>
      <c r="AV178" s="93"/>
      <c r="AW178" s="89"/>
    </row>
    <row r="179" spans="38:49" ht="12" customHeight="1">
      <c r="AL179" s="93"/>
      <c r="AM179" s="93"/>
      <c r="AN179" s="93"/>
      <c r="AO179" s="93"/>
      <c r="AP179" s="93"/>
      <c r="AQ179" s="93">
        <v>9</v>
      </c>
      <c r="AR179" s="98">
        <f>AR170-INT(AR170/10000000)*10000000-AR173-AR171-AR174-AR175-AR177-AR178</f>
        <v>0</v>
      </c>
      <c r="AS179" s="93">
        <f>AR179/1000000</f>
        <v>0</v>
      </c>
      <c r="AT179" s="93"/>
      <c r="AU179" s="93"/>
      <c r="AV179" s="93"/>
      <c r="AW179" s="89"/>
    </row>
    <row r="180" spans="38:49" ht="12" customHeight="1">
      <c r="AL180" s="93"/>
      <c r="AM180" s="93"/>
      <c r="AN180" s="93"/>
      <c r="AO180" s="93"/>
      <c r="AP180" s="93"/>
      <c r="AQ180" s="93">
        <v>10</v>
      </c>
      <c r="AR180" s="93"/>
      <c r="AS180" s="98">
        <f>IF(AND(AS179+AS181&gt;=11,AS179+AS181&lt;=19),AS179+AS181,0)</f>
        <v>0</v>
      </c>
      <c r="AT180" s="93"/>
      <c r="AU180" s="93"/>
      <c r="AV180" s="93"/>
      <c r="AW180" s="89"/>
    </row>
    <row r="181" spans="38:49" ht="12" customHeight="1">
      <c r="AL181" s="93"/>
      <c r="AM181" s="93"/>
      <c r="AN181" s="93"/>
      <c r="AO181" s="93"/>
      <c r="AP181" s="93"/>
      <c r="AQ181" s="93">
        <v>11</v>
      </c>
      <c r="AR181" s="98">
        <f>AR170-INT(AR170/100000000)*100000000-AR173-AR171-AR174-AR175-AR177-AR178-AR179</f>
        <v>0</v>
      </c>
      <c r="AS181" s="93">
        <f>AR181/1000000</f>
        <v>0</v>
      </c>
      <c r="AT181" s="93"/>
      <c r="AU181" s="93"/>
      <c r="AV181" s="93"/>
      <c r="AW181" s="89"/>
    </row>
    <row r="182" spans="38:49" ht="12" customHeight="1">
      <c r="AL182" s="93"/>
      <c r="AM182" s="93"/>
      <c r="AN182" s="93"/>
      <c r="AO182" s="93"/>
      <c r="AP182" s="93"/>
      <c r="AQ182" s="93">
        <v>12</v>
      </c>
      <c r="AR182" s="98">
        <f>AR170-INT(AR170/1000000000)*1000000000-AR173-AR171-AR174-AR175-AR177-AR178-AR179-AR181</f>
        <v>0</v>
      </c>
      <c r="AS182" s="93">
        <f>AR182/1000000</f>
        <v>0</v>
      </c>
      <c r="AT182" s="93"/>
      <c r="AU182" s="93"/>
      <c r="AV182" s="93"/>
      <c r="AW182" s="89"/>
    </row>
    <row r="183" spans="38:49" ht="12" customHeight="1">
      <c r="AL183" s="93"/>
      <c r="AM183" s="93"/>
      <c r="AN183" s="93"/>
      <c r="AO183" s="93"/>
      <c r="AP183" s="93"/>
      <c r="AQ183" s="93">
        <v>13</v>
      </c>
      <c r="AR183" s="98">
        <f>AR170-INT(AR170/10000000000)*10000000000-AR173-AR171-AR174-AR175-AR177-AR178-AR179-AR181-AR182</f>
        <v>0</v>
      </c>
      <c r="AS183" s="93">
        <f>AR183/1000000000</f>
        <v>0</v>
      </c>
      <c r="AT183" s="93"/>
      <c r="AU183" s="93"/>
      <c r="AV183" s="93"/>
      <c r="AW183" s="89"/>
    </row>
    <row r="184" spans="38:49" ht="12" customHeight="1">
      <c r="AL184" s="93"/>
      <c r="AM184" s="93"/>
      <c r="AN184" s="93"/>
      <c r="AO184" s="93"/>
      <c r="AP184" s="93"/>
      <c r="AQ184" s="93">
        <v>14</v>
      </c>
      <c r="AR184" s="98"/>
      <c r="AS184" s="98">
        <f>IF(AND(AS183+AS185&gt;=11,AS183+AS185&lt;=19),AS183+AS185,0)</f>
        <v>0</v>
      </c>
      <c r="AT184" s="93"/>
      <c r="AU184" s="93"/>
      <c r="AV184" s="93"/>
      <c r="AW184" s="89"/>
    </row>
    <row r="185" spans="38:49" ht="12" customHeight="1">
      <c r="AL185" s="93"/>
      <c r="AM185" s="93"/>
      <c r="AN185" s="93"/>
      <c r="AO185" s="93"/>
      <c r="AP185" s="93"/>
      <c r="AQ185" s="93">
        <v>15</v>
      </c>
      <c r="AR185" s="98">
        <f>AR170-INT(AR170/100000000000)*100000000000-AR173-AR171-AR174-AR175-AR177-AR178-AR179-AR181-AR182-AR183</f>
        <v>0</v>
      </c>
      <c r="AS185" s="93">
        <f>AR185/1000000000</f>
        <v>0</v>
      </c>
      <c r="AT185" s="93"/>
      <c r="AU185" s="93"/>
      <c r="AV185" s="93"/>
      <c r="AW185" s="89"/>
    </row>
    <row r="186" spans="38:49" ht="12" customHeight="1">
      <c r="AL186" s="93"/>
      <c r="AM186" s="93"/>
      <c r="AN186" s="93"/>
      <c r="AO186" s="93"/>
      <c r="AP186" s="93" t="e">
        <f>SEARCH("@",SUBSTITUTE(AR187," ","@",LEN(AR187)-LEN(SUBSTITUTE(AR187," ",""))))</f>
        <v>#VALUE!</v>
      </c>
      <c r="AQ186" s="93">
        <v>16</v>
      </c>
      <c r="AR186" s="98">
        <f>AR170-INT(AR170/1000000000000)*1000000000000-AR173-AR171-AR174-AR175-AR177-AR178-AR179-AR181-AR182-AR183-AR185</f>
        <v>0</v>
      </c>
      <c r="AS186" s="93">
        <f>AR186/1000000000</f>
        <v>0</v>
      </c>
      <c r="AT186" s="93"/>
      <c r="AU186" s="93"/>
      <c r="AV186" s="93"/>
      <c r="AW186" s="89"/>
    </row>
    <row r="187" spans="38:49" ht="12" customHeight="1">
      <c r="AL187" s="93"/>
      <c r="AM187" s="93"/>
      <c r="AN187" s="93"/>
      <c r="AO187" s="93"/>
      <c r="AP187" s="93"/>
      <c r="AQ187" s="93"/>
      <c r="AR187" s="100">
        <f>IF(AS170=0,"",AP203&amp;AP202&amp;AP201&amp;AP200&amp;AU200&amp;AP199&amp;AP198&amp;AP197&amp;AP196&amp;AU196&amp;AP195&amp;AP194&amp;AP193&amp;AP192&amp;AU192&amp;AP191&amp;AP190&amp;AP189&amp;AP188)</f>
      </c>
      <c r="AS187" s="93"/>
      <c r="AT187" s="93"/>
      <c r="AU187" s="93"/>
      <c r="AV187" s="93"/>
      <c r="AW187" s="89"/>
    </row>
    <row r="188" spans="38:49" ht="12" customHeight="1">
      <c r="AL188" s="93" t="s">
        <v>79</v>
      </c>
      <c r="AM188" s="101">
        <f>IF(AR172&gt;0,"",IF(AR171=1,AN188,""))</f>
      </c>
      <c r="AN188" s="102" t="s">
        <v>80</v>
      </c>
      <c r="AO188" s="93"/>
      <c r="AP188" s="93">
        <f>IF(SUM(AR172:AR186)=0,PROPER(AR188),AR188)</f>
      </c>
      <c r="AQ188" s="93">
        <v>1</v>
      </c>
      <c r="AR188" s="100">
        <f>IF(AND(AR172&lt;20,AR172&gt;10),"",AS188&amp;AT188)</f>
      </c>
      <c r="AS188" s="93">
        <f>IF(AR171=1," один",IF(AR171=2," два",IF(AR171=3," три",IF(AR171=4," четыре",IF(AR171=5," пять",IF(AR171=6," шесть",IF(AR171=7," семь","")))))))</f>
      </c>
      <c r="AT188" s="93">
        <f>IF(AR171=8," восемь",IF(AR171=9," девять",""))</f>
      </c>
      <c r="AU188" s="93"/>
      <c r="AV188" s="93"/>
      <c r="AW188" s="89"/>
    </row>
    <row r="189" spans="38:49" ht="12" customHeight="1">
      <c r="AL189" s="93" t="s">
        <v>81</v>
      </c>
      <c r="AM189" s="103">
        <f>IF(AR172&gt;0,"",IF(OR(AR171=2,AR171=3,AR171=4),AN189,""))</f>
      </c>
      <c r="AN189" s="104" t="s">
        <v>82</v>
      </c>
      <c r="AO189" s="93"/>
      <c r="AP189" s="93">
        <f>IF(SUM(AR174:AR186)=0,PROPER(AR189),AR189)</f>
      </c>
      <c r="AQ189" s="93">
        <v>2</v>
      </c>
      <c r="AR189" s="100">
        <f>AS189&amp;AT189</f>
      </c>
      <c r="AS189" s="93">
        <f>IF(AR172=11," одиннадцать",IF(AR172=12," двенадцать",IF(AR172=13," тринадцать",IF(AR172=14," четырнадцать",IF(AR172=15," пятнадцать",IF(AR172=16," шестнадцать",IF(AR172=17," семнадцать","")))))))</f>
      </c>
      <c r="AT189" s="93">
        <f>IF(AR172=18," восемнадцать",IF(AR172=19," девятнадцать",""))</f>
      </c>
      <c r="AU189" s="93"/>
      <c r="AV189" s="93"/>
      <c r="AW189" s="89"/>
    </row>
    <row r="190" spans="38:49" ht="12" customHeight="1">
      <c r="AL190" s="93" t="s">
        <v>83</v>
      </c>
      <c r="AM190" s="103" t="str">
        <f>IF(AR172&gt;0,"",IF(OR(AR171=0,AR171=5,AR171=6,AR171=7,AR171=8,AR171=9),AN190,""))</f>
        <v> белорусских рублей </v>
      </c>
      <c r="AN190" s="104" t="s">
        <v>84</v>
      </c>
      <c r="AO190" s="93"/>
      <c r="AP190" s="93">
        <f>IF(SUM(AR174:AR186)=0,PROPER(AR190),AR190)</f>
      </c>
      <c r="AQ190" s="93">
        <v>3</v>
      </c>
      <c r="AR190" s="100">
        <f>IF(AND(AR172&lt;20,AR172&gt;10),"",AS190&amp;AT190)</f>
      </c>
      <c r="AS190" s="93">
        <f>IF(AR173=10," десять",IF(AR173=20," двадцать",IF(AR173=30," тридцать",IF(AR173=40," сорок",IF(AR173=50," пятьдесят",IF(AR173=60," шестьдесят",""))))))</f>
      </c>
      <c r="AT190" s="93">
        <f>IF(AR173=70," семьдесят",IF(AR173=80," восемьдесят",IF(AR173=90," девяносто","")))</f>
      </c>
      <c r="AU190" s="93"/>
      <c r="AV190" s="93"/>
      <c r="AW190" s="89"/>
    </row>
    <row r="191" spans="38:49" ht="12" customHeight="1">
      <c r="AL191" s="93"/>
      <c r="AM191" s="93">
        <f>IF(AND(AR172&gt;=11,AR172&lt;=19),AN190,"")</f>
      </c>
      <c r="AN191" s="104"/>
      <c r="AO191" s="93"/>
      <c r="AP191" s="93">
        <f>IF(SUM(AS175:AS186)=0,PROPER(AR191),AR191)</f>
      </c>
      <c r="AQ191" s="93">
        <v>4</v>
      </c>
      <c r="AR191" s="100">
        <f>AS191&amp;AT191</f>
      </c>
      <c r="AS191" s="93">
        <f>IF(AR174=100," сто",IF(AR174=200," двести",IF(AR174=300," триста",IF(AR174=400," четыреста",IF(AR174=500," пятьсот",IF(AR174=600," шестьсот",""))))))</f>
      </c>
      <c r="AT191" s="93">
        <f>IF(AR174=700," семьсот",IF(AR174=800," восемьсот",IF(AR174=900," девятьсот","")))</f>
      </c>
      <c r="AU191" s="93"/>
      <c r="AV191" s="93"/>
      <c r="AW191" s="89"/>
    </row>
    <row r="192" spans="38:49" ht="12" customHeight="1">
      <c r="AL192" s="93"/>
      <c r="AM192" s="102" t="str">
        <f>AM188&amp;AM189&amp;AM190&amp;AM191</f>
        <v> белорусских рублей </v>
      </c>
      <c r="AN192" s="102"/>
      <c r="AO192" s="93"/>
      <c r="AP192" s="93">
        <f>IF(SUM(AS176:AS186)=0,PROPER(AR192),AR192)</f>
      </c>
      <c r="AQ192" s="93">
        <v>5</v>
      </c>
      <c r="AR192" s="100">
        <f>IF(AND(AS176&lt;20,AS176&gt;10),"",AS192&amp;AT192)</f>
      </c>
      <c r="AS192" s="93">
        <f>IF(AS175=1," одна",IF(AS175=2," две",IF(AS175=3," три",IF(AS175=4," четыре",IF(AS175=5," пять",IF(AS175=6," шесть",IF(AS175=7," семь","")))))))</f>
      </c>
      <c r="AT192" s="93">
        <f>IF(AS175=8," восемь",IF(AS175=9," девять",""))</f>
      </c>
      <c r="AU192" s="93">
        <f>IF(AND(AR192="",AR193="",AR194="",AR195=""),"",IF(AND(AS176&lt;20,AS176&gt;10)," тысяч",IF(AS175=1," тысяча",IF(OR(AS175=2,AS175=3,AS175=4)," тысячи"," тысяч"))))</f>
      </c>
      <c r="AV192" s="93"/>
      <c r="AW192" s="89"/>
    </row>
    <row r="193" spans="38:49" ht="12" customHeight="1">
      <c r="AL193" s="93"/>
      <c r="AM193" s="101"/>
      <c r="AN193" s="102"/>
      <c r="AO193" s="93"/>
      <c r="AP193" s="93">
        <f>IF(SUM(AS178:AS186)=0,PROPER(AR193),AR193)</f>
      </c>
      <c r="AQ193" s="93">
        <v>6</v>
      </c>
      <c r="AR193" s="100">
        <f>AS193&amp;AT193</f>
      </c>
      <c r="AS193" s="93">
        <f>IF(AS176=11," одиннадцать",IF(AS176=12," двенадцать",IF(AS176=13," тринадцать",IF(AS176=14," четырнадцать",IF(AS176=15," пятнадцать",IF(AS176=16," шестнадцать",IF(AS176=17," семнадцать","")))))))</f>
      </c>
      <c r="AT193" s="93">
        <f>IF(AS176=18," восемнадцать",IF(AS176=19," девятнадцать",""))</f>
      </c>
      <c r="AU193" s="93"/>
      <c r="AV193" s="93"/>
      <c r="AW193" s="89"/>
    </row>
    <row r="194" spans="38:49" ht="12" customHeight="1">
      <c r="AL194" s="93"/>
      <c r="AM194" s="93"/>
      <c r="AN194" s="93"/>
      <c r="AO194" s="93"/>
      <c r="AP194" s="93">
        <f>IF(SUM(AS178:AS186)=0,PROPER(AR194),AR194)</f>
      </c>
      <c r="AQ194" s="93">
        <v>7</v>
      </c>
      <c r="AR194" s="100">
        <f>IF(AND(AS176&lt;20,AS176&gt;10),"",AS194&amp;AT194)</f>
      </c>
      <c r="AS194" s="93">
        <f>IF(AS177=10," десять",IF(AS177=20," двадцать",IF(AS177=30," тридцать",IF(AS177=40," сорок",IF(AS177=50," пятьдесят",IF(AS177=60," шестьдесят",""))))))</f>
      </c>
      <c r="AT194" s="93">
        <f>IF(AS177=70," семьдесят",IF(AS177=80," восемьдесят",IF(AS177=90," девяносто","")))</f>
      </c>
      <c r="AU194" s="93"/>
      <c r="AV194" s="93"/>
      <c r="AW194" s="89"/>
    </row>
    <row r="195" spans="38:49" ht="12" customHeight="1">
      <c r="AL195" s="93"/>
      <c r="AM195" s="93"/>
      <c r="AN195" s="93"/>
      <c r="AO195" s="93"/>
      <c r="AP195" s="93">
        <f>IF(SUM(AS179:AS186)=0,PROPER(AR195),AR195)</f>
      </c>
      <c r="AQ195" s="93">
        <v>8</v>
      </c>
      <c r="AR195" s="100">
        <f>AS195&amp;AT195</f>
      </c>
      <c r="AS195" s="93">
        <f>IF(AS178=100," сто",IF(AS178=200," двести",IF(AS178=300," триста",IF(AS178=400," четыреста",IF(AS178=500," пятьсот",IF(AS178=600," шестьсот",""))))))</f>
      </c>
      <c r="AT195" s="93">
        <f>IF(AS178=700," семьсот",IF(AS178=800," восемьсот",IF(AS178=900," девятьсот","")))</f>
      </c>
      <c r="AU195" s="93"/>
      <c r="AV195" s="93"/>
      <c r="AW195" s="89"/>
    </row>
    <row r="196" spans="38:49" ht="12" customHeight="1">
      <c r="AL196" s="93"/>
      <c r="AM196" s="93"/>
      <c r="AN196" s="93"/>
      <c r="AO196" s="93"/>
      <c r="AP196" s="93">
        <f>IF(SUM(AS180:AS186)=0,PROPER(AR196),AR196)</f>
      </c>
      <c r="AQ196" s="93">
        <v>9</v>
      </c>
      <c r="AR196" s="100">
        <f>IF(AND(AS180&lt;20,AS180&gt;10),"",AS196&amp;AT196)</f>
      </c>
      <c r="AS196" s="93">
        <f>IF(AS179=1," один",IF(AS179=2," два",IF(AS179=3," три",IF(AS179=4," четыре",IF(AS179=5," пять",IF(AS179=6," шесть",IF(AS179=7," семь","")))))))</f>
      </c>
      <c r="AT196" s="93">
        <f>IF(AS179=8," восемь",IF(AS179=9," девять",""))</f>
      </c>
      <c r="AU196" s="93">
        <f>IF(AND(AR196="",AR197="",AR198="",AR199=""),"",IF(AND(AS180&lt;20,AS180&gt;10)," миллионов",IF(AS179=1," миллион",IF(OR(AS179=2,AS179=3,AS179=4)," миллиона"," миллионов"))))</f>
      </c>
      <c r="AV196" s="93"/>
      <c r="AW196" s="89"/>
    </row>
    <row r="197" spans="38:49" ht="12" customHeight="1">
      <c r="AL197" s="93"/>
      <c r="AM197" s="93"/>
      <c r="AN197" s="93"/>
      <c r="AO197" s="93"/>
      <c r="AP197" s="93">
        <f>IF(SUM(AS182:AS186)=0,PROPER(AR197),AR197)</f>
      </c>
      <c r="AQ197" s="93">
        <v>10</v>
      </c>
      <c r="AR197" s="100">
        <f>AS197&amp;AT197</f>
      </c>
      <c r="AS197" s="93">
        <f>IF(AS180=11," одиннадцать",IF(AS180=12," двенадцать",IF(AS180=13," тринадцать",IF(AS180=14," четырнадцать",IF(AS180=15," пятнадцать",IF(AS180=16," шестнадцать",IF(AS180=17," семнадцать","")))))))</f>
      </c>
      <c r="AT197" s="93">
        <f>IF(AS180=18," восемнадцать",IF(AS180=19," девятнадцать",""))</f>
      </c>
      <c r="AU197" s="93"/>
      <c r="AV197" s="93"/>
      <c r="AW197" s="89"/>
    </row>
    <row r="198" spans="38:49" ht="12" customHeight="1">
      <c r="AL198" s="93"/>
      <c r="AM198" s="93"/>
      <c r="AN198" s="93"/>
      <c r="AO198" s="93"/>
      <c r="AP198" s="93">
        <f>IF(SUM(AS182:AS186)=0,PROPER(AR198),AR198)</f>
      </c>
      <c r="AQ198" s="93">
        <v>11</v>
      </c>
      <c r="AR198" s="100">
        <f>IF(AND(AS180&lt;20,AS180&gt;10),"",AS198&amp;AT198)</f>
      </c>
      <c r="AS198" s="93">
        <f>IF(AS181=10," десять",IF(AS181=20," двадцать",IF(AS181=30," тридцать",IF(AS181=40," сорок",IF(AS181=50," пятьдесят",IF(AS181=60," шестьдесят",""))))))</f>
      </c>
      <c r="AT198" s="93">
        <f>IF(AS181=70," семьдесят",IF(AS181=80," восемьдесят",IF(AS181=90," девяносто","")))</f>
      </c>
      <c r="AU198" s="93"/>
      <c r="AV198" s="93"/>
      <c r="AW198" s="89"/>
    </row>
    <row r="199" spans="38:49" ht="12" customHeight="1">
      <c r="AL199" s="93"/>
      <c r="AM199" s="93"/>
      <c r="AN199" s="93"/>
      <c r="AO199" s="93"/>
      <c r="AP199" s="93">
        <f>IF(SUM(AS183:AS186)=0,PROPER(AR199),AR199)</f>
      </c>
      <c r="AQ199" s="93">
        <v>12</v>
      </c>
      <c r="AR199" s="100">
        <f>AS199&amp;AT199</f>
      </c>
      <c r="AS199" s="93">
        <f>IF(AS182=100," сто",IF(AS182=200," двести",IF(AS182=300," триста",IF(AS182=400," четыреста",IF(AS182=500," пятьсот",IF(AS182=600," шестьсот",""))))))</f>
      </c>
      <c r="AT199" s="93">
        <f>IF(AS182=700," семьсот",IF(AS182=800," восемьсот",IF(AS182=900," девятьсот","")))</f>
      </c>
      <c r="AU199" s="93"/>
      <c r="AV199" s="93"/>
      <c r="AW199" s="89"/>
    </row>
    <row r="200" spans="38:49" ht="12" customHeight="1">
      <c r="AL200" s="93"/>
      <c r="AM200" s="93"/>
      <c r="AN200" s="93"/>
      <c r="AO200" s="93"/>
      <c r="AP200" s="93">
        <f>IF(SUM(AS184:AS186)=0,PROPER(AR200),AR200)</f>
      </c>
      <c r="AQ200" s="93">
        <v>13</v>
      </c>
      <c r="AR200" s="100">
        <f>IF(AND(AS184&lt;20,AS184&gt;10),"",AS200&amp;AT200)</f>
      </c>
      <c r="AS200" s="93">
        <f>IF(AS183=1," один",IF(AS183=2," два",IF(AS183=3," три",IF(AS183=4," четыре",IF(AS183=5," пять",IF(AS183=6," шесть",IF(AS183=7," семь","")))))))</f>
      </c>
      <c r="AT200" s="93">
        <f>IF(AS183=8," восемь",IF(AS183=9," девять",""))</f>
      </c>
      <c r="AU200" s="93">
        <f>IF(AND(AR200="",AR201="",AR202="",AR203=""),"",IF(AND(AS184&lt;20,AS184&gt;10)," миллиардов",IF(AS183=1," миллиард",IF(OR(AS183=2,AS183=3,AS183=4)," миллиарда"," миллиардов"))))</f>
      </c>
      <c r="AV200" s="93"/>
      <c r="AW200" s="89"/>
    </row>
    <row r="201" spans="38:49" ht="12" customHeight="1">
      <c r="AL201" s="93"/>
      <c r="AM201" s="93"/>
      <c r="AN201" s="93"/>
      <c r="AO201" s="93"/>
      <c r="AP201" s="93">
        <f>IF(AS186=0,PROPER(AR201),AR201)</f>
      </c>
      <c r="AQ201" s="93">
        <v>14</v>
      </c>
      <c r="AR201" s="100">
        <f>AS201&amp;AT201</f>
      </c>
      <c r="AS201" s="93">
        <f>IF(AS184=11," одиннадцать",IF(AS184=12," двенадцать",IF(AS184=13," тринадцать",IF(AS184=14," четырнадцать",IF(AS184=15," пятнадцать",IF(AS184=16," шестнадцать",IF(AS184=17," семнадцать","")))))))</f>
      </c>
      <c r="AT201" s="93">
        <f>IF(AS184=18," восемнадцать",IF(AS184=19," девятнадцать",""))</f>
      </c>
      <c r="AU201" s="93"/>
      <c r="AV201" s="93"/>
      <c r="AW201" s="89"/>
    </row>
    <row r="202" spans="38:49" ht="12" customHeight="1">
      <c r="AL202" s="93"/>
      <c r="AM202" s="93"/>
      <c r="AN202" s="93"/>
      <c r="AO202" s="93"/>
      <c r="AP202" s="93">
        <f>IF(SUM(AS186)=0,PROPER(AR202),AR202)</f>
      </c>
      <c r="AQ202" s="93">
        <v>15</v>
      </c>
      <c r="AR202" s="100">
        <f>IF(AND(AS184&lt;20,AS184&gt;10),"",AS202&amp;AT202)</f>
      </c>
      <c r="AS202" s="93">
        <f>IF(AS185=10," десять",IF(AS185=20," двадцать",IF(AS185=30," тридцать",IF(AS185=40," сорок",IF(AS185=50," пятьдесят",IF(AS185=60," шестьдесят",""))))))</f>
      </c>
      <c r="AT202" s="93">
        <f>IF(AS185=70," семьдесят",IF(AS185=80," восемьдесят",IF(AS185=90," девяносто","")))</f>
      </c>
      <c r="AU202" s="93"/>
      <c r="AV202" s="93"/>
      <c r="AW202" s="89"/>
    </row>
    <row r="203" spans="38:49" ht="12" customHeight="1">
      <c r="AL203" s="93"/>
      <c r="AM203" s="93"/>
      <c r="AN203" s="93"/>
      <c r="AO203" s="93"/>
      <c r="AP203" s="93">
        <f>PROPER(AR203)</f>
      </c>
      <c r="AQ203" s="93">
        <v>16</v>
      </c>
      <c r="AR203" s="100">
        <f>AS203&amp;AT203</f>
      </c>
      <c r="AS203" s="93">
        <f>IF(AS186=100," сто",IF(AS186=200," двести",IF(AS186=300," триста",IF(AS186=400," четыреста",IF(AS186=500," пятьсот",IF(AS186=600," шестьсот",""))))))</f>
      </c>
      <c r="AT203" s="93">
        <f>IF(AS186=700," семьсот",IF(AS186=800," восемьсот",IF(AS186=900," девятьсот","")))</f>
      </c>
      <c r="AU203" s="93"/>
      <c r="AV203" s="93"/>
      <c r="AW203" s="89"/>
    </row>
    <row r="204" spans="38:49" ht="12" customHeight="1"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89"/>
    </row>
    <row r="205" spans="38:49" ht="12" customHeight="1"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89"/>
    </row>
    <row r="206" spans="38:49" ht="12" customHeight="1"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89"/>
    </row>
    <row r="207" spans="38:48" ht="12" customHeight="1"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</row>
    <row r="208" spans="38:48" ht="12" customHeight="1"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</row>
    <row r="209" spans="38:48" ht="12" customHeight="1"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</row>
    <row r="210" spans="38:48" ht="12" customHeight="1"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</row>
    <row r="211" spans="38:48" ht="12" customHeight="1"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</row>
  </sheetData>
  <sheetProtection/>
  <mergeCells count="66">
    <mergeCell ref="C21:H21"/>
    <mergeCell ref="Z22:AE22"/>
    <mergeCell ref="Z35:AF35"/>
    <mergeCell ref="AH35:AI35"/>
    <mergeCell ref="U30:W30"/>
    <mergeCell ref="U31:W31"/>
    <mergeCell ref="U34:W34"/>
    <mergeCell ref="U35:W35"/>
    <mergeCell ref="Z30:AC30"/>
    <mergeCell ref="AC31:AE31"/>
    <mergeCell ref="AH32:AJ32"/>
    <mergeCell ref="AC32:AE32"/>
    <mergeCell ref="J40:N40"/>
    <mergeCell ref="AE37:AF37"/>
    <mergeCell ref="AE40:AF40"/>
    <mergeCell ref="P40:X40"/>
    <mergeCell ref="P39:X39"/>
    <mergeCell ref="Z33:AC33"/>
    <mergeCell ref="AD33:AJ33"/>
    <mergeCell ref="AC34:AJ34"/>
    <mergeCell ref="M24:T24"/>
    <mergeCell ref="M25:T25"/>
    <mergeCell ref="G36:X36"/>
    <mergeCell ref="G28:X28"/>
    <mergeCell ref="G29:X29"/>
    <mergeCell ref="AH31:AI31"/>
    <mergeCell ref="O30:R30"/>
    <mergeCell ref="O31:R31"/>
    <mergeCell ref="G33:X33"/>
    <mergeCell ref="Z31:AB31"/>
    <mergeCell ref="AH40:AJ40"/>
    <mergeCell ref="G34:R34"/>
    <mergeCell ref="S34:T34"/>
    <mergeCell ref="J39:N39"/>
    <mergeCell ref="P42:X42"/>
    <mergeCell ref="P43:X43"/>
    <mergeCell ref="AD41:AG41"/>
    <mergeCell ref="AH41:AJ41"/>
    <mergeCell ref="AH36:AJ36"/>
    <mergeCell ref="J42:N42"/>
    <mergeCell ref="J43:N43"/>
    <mergeCell ref="C30:F30"/>
    <mergeCell ref="C32:F32"/>
    <mergeCell ref="G30:I30"/>
    <mergeCell ref="K30:N30"/>
    <mergeCell ref="G32:X32"/>
    <mergeCell ref="C27:F27"/>
    <mergeCell ref="C29:F29"/>
    <mergeCell ref="G27:X27"/>
    <mergeCell ref="B1:AK1"/>
    <mergeCell ref="C16:T16"/>
    <mergeCell ref="C17:T17"/>
    <mergeCell ref="Z16:AI16"/>
    <mergeCell ref="Z17:AI17"/>
    <mergeCell ref="C24:L24"/>
    <mergeCell ref="C25:L25"/>
    <mergeCell ref="AC29:AJ29"/>
    <mergeCell ref="Z25:AB25"/>
    <mergeCell ref="AC25:AJ25"/>
    <mergeCell ref="AD38:AG38"/>
    <mergeCell ref="AH38:AJ38"/>
    <mergeCell ref="Z27:AJ27"/>
    <mergeCell ref="AH37:AJ37"/>
    <mergeCell ref="Z29:AB29"/>
    <mergeCell ref="AA26:AJ26"/>
    <mergeCell ref="AD30:AE30"/>
  </mergeCells>
  <printOptions horizontalCentered="1"/>
  <pageMargins left="0.7874015748031497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18" customWidth="1"/>
    <col min="2" max="2" width="9.00390625" style="18" customWidth="1"/>
    <col min="3" max="3" width="6.625" style="18" customWidth="1"/>
    <col min="4" max="4" width="13.625" style="18" customWidth="1"/>
    <col min="5" max="5" width="23.00390625" style="18" customWidth="1"/>
    <col min="6" max="6" width="9.375" style="18" customWidth="1"/>
    <col min="7" max="7" width="9.125" style="18" customWidth="1"/>
    <col min="8" max="8" width="13.25390625" style="32" customWidth="1"/>
    <col min="9" max="9" width="10.125" style="18" bestFit="1" customWidth="1"/>
    <col min="10" max="12" width="9.125" style="18" customWidth="1"/>
    <col min="13" max="13" width="15.375" style="18" bestFit="1" customWidth="1"/>
    <col min="14" max="16" width="9.125" style="18" customWidth="1"/>
    <col min="17" max="17" width="15.375" style="18" bestFit="1" customWidth="1"/>
    <col min="18" max="16384" width="9.125" style="18" customWidth="1"/>
  </cols>
  <sheetData>
    <row r="1" spans="2:8" ht="15.75">
      <c r="B1" s="19"/>
      <c r="C1" s="19"/>
      <c r="D1" s="19"/>
      <c r="E1" s="20" t="e">
        <f>'КО-1'!#REF!</f>
        <v>#REF!</v>
      </c>
      <c r="H1" s="21"/>
    </row>
    <row r="2" spans="1:19" ht="15.75">
      <c r="A2" s="22" t="s">
        <v>6</v>
      </c>
      <c r="B2" s="23" t="e">
        <f>SUBSTITUTE(B4,F8,F9,1)</f>
        <v>#REF!</v>
      </c>
      <c r="E2" s="24"/>
      <c r="H2" s="25"/>
      <c r="I2" s="26"/>
      <c r="J2" s="25"/>
      <c r="K2" s="25"/>
      <c r="L2" s="25"/>
      <c r="M2" s="27" t="s">
        <v>7</v>
      </c>
      <c r="N2" s="144">
        <f ca="1">TODAY()</f>
        <v>44272</v>
      </c>
      <c r="O2" s="144"/>
      <c r="P2" s="26">
        <f>DAY(N2)</f>
        <v>17</v>
      </c>
      <c r="Q2" s="28" t="str">
        <f>IF(Q3&gt;7,S2,S3)</f>
        <v>марта</v>
      </c>
      <c r="R2" s="27">
        <f>YEAR(N2)</f>
        <v>2021</v>
      </c>
      <c r="S2" s="25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22" t="s">
        <v>8</v>
      </c>
      <c r="B3" s="29" t="e">
        <f>SUBSTITUTE(B5,F8,F9,1)</f>
        <v>#REF!</v>
      </c>
      <c r="H3" s="25"/>
      <c r="I3" s="25"/>
      <c r="J3" s="25"/>
      <c r="K3" s="145" t="str">
        <f>CONCATENATE(" «  ",P2,"  »  ",Q2,"  ",R2," г.")</f>
        <v> «  17  »  марта  2021 г.</v>
      </c>
      <c r="L3" s="145"/>
      <c r="M3" s="145"/>
      <c r="N3" s="30"/>
      <c r="O3" s="30"/>
      <c r="P3" s="25"/>
      <c r="Q3" s="28">
        <f>MONTH(N2)</f>
        <v>3</v>
      </c>
      <c r="R3" s="25"/>
      <c r="S3" s="25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31" t="s">
        <v>9</v>
      </c>
      <c r="B4" s="29" t="e">
        <f>CONCATENATE(A7,A8,A9,A10)</f>
        <v>#REF!</v>
      </c>
    </row>
    <row r="5" spans="1:10" s="29" customFormat="1" ht="12.75">
      <c r="A5" s="31" t="s">
        <v>10</v>
      </c>
      <c r="B5" s="29" t="e">
        <f>CONCATENATE(A7,A8,A9,A10,A11,B7,B8,C8)</f>
        <v>#REF!</v>
      </c>
      <c r="C5" s="18"/>
      <c r="D5" s="18"/>
      <c r="E5" s="18"/>
      <c r="H5" s="33"/>
      <c r="I5" s="33"/>
      <c r="J5" s="33"/>
    </row>
    <row r="6" spans="4:10" ht="12.75" customHeight="1">
      <c r="D6" s="32"/>
      <c r="H6" s="33"/>
      <c r="I6" s="33"/>
      <c r="J6" s="33"/>
    </row>
    <row r="7" spans="1:10" ht="12.75" customHeight="1">
      <c r="A7" s="34" t="e">
        <f>CONCATENATE(IF(B14=0,"",E14),IF(B15=0,"",IF(C16&lt;20,IF(C16&lt;16,IF(C16&lt;10,E15,D16),F16),E15)),IF(B16=0,"",IF(NOT(B15=1),E16,"")),F17)</f>
        <v>#REF!</v>
      </c>
      <c r="D7" s="32"/>
      <c r="F7" s="35" t="e">
        <f>CODE(B5)</f>
        <v>#REF!</v>
      </c>
      <c r="G7" s="34"/>
      <c r="H7" s="33"/>
      <c r="I7" s="33"/>
      <c r="J7" s="33"/>
    </row>
    <row r="8" spans="1:17" ht="12.75" customHeight="1">
      <c r="A8" s="34" t="e">
        <f>CONCATENATE(IF(B18=0,"",E18),IF(B19=0,"",IF(C20&lt;20,IF(C20&lt;16,IF(C20&lt;10,E19,D20),F20),E19)),IF(B20=0,"",IF(NOT(B19=1),E20,"")),F21)</f>
        <v>#REF!</v>
      </c>
      <c r="B8" s="36"/>
      <c r="D8" s="37"/>
      <c r="F8" s="35" t="e">
        <f>CHAR(F7)</f>
        <v>#REF!</v>
      </c>
      <c r="G8" s="34"/>
      <c r="H8" s="33"/>
      <c r="I8" s="33"/>
      <c r="J8" s="33"/>
      <c r="Q8" s="38"/>
    </row>
    <row r="9" spans="1:10" s="34" customFormat="1" ht="12.75" customHeight="1">
      <c r="A9" s="34" t="e">
        <f>CONCATENATE(IF(B22=0,"",E22),IF(B23=0,"",IF(C24&lt;20,IF(C24&lt;16,IF(C24&lt;10,E23,D24),F24),E23)),IF(B24=0,"",IF(NOT(B23=1),E24,"")),F25)</f>
        <v>#REF!</v>
      </c>
      <c r="D9" s="33"/>
      <c r="E9" s="39"/>
      <c r="F9" s="35" t="e">
        <f>PROPER(F8)</f>
        <v>#REF!</v>
      </c>
      <c r="H9" s="33"/>
      <c r="I9" s="33"/>
      <c r="J9" s="33"/>
    </row>
    <row r="10" spans="1:10" s="34" customFormat="1" ht="12.75" customHeight="1">
      <c r="A10" s="34" t="e">
        <f>CONCATENATE(IF(B26=0,"",E26),IF(B27=0,"",IF(C28&lt;20,IF(C28&lt;16,IF(C28&lt;10,E27,D28),F28),E27)),IF(B28=0,"",IF(NOT(B27=1),E28,"")),F29)</f>
        <v>#REF!</v>
      </c>
      <c r="D10" s="33"/>
      <c r="E10" s="39"/>
      <c r="H10" s="33"/>
      <c r="I10" s="33"/>
      <c r="J10" s="33"/>
    </row>
    <row r="11" spans="1:13" s="34" customFormat="1" ht="12.75">
      <c r="A11" s="40"/>
      <c r="D11" s="33"/>
      <c r="E11" s="39"/>
      <c r="M11" s="41"/>
    </row>
    <row r="12" spans="1:13" s="34" customFormat="1" ht="12.75">
      <c r="A12" s="40"/>
      <c r="E12" s="42" t="e">
        <f>TRUNC(E1)</f>
        <v>#REF!</v>
      </c>
      <c r="F12" s="34" t="s">
        <v>11</v>
      </c>
      <c r="H12" s="33"/>
      <c r="M12" s="43"/>
    </row>
    <row r="13" spans="1:8" s="34" customFormat="1" ht="12.75">
      <c r="A13" s="44" t="e">
        <f>TRUNC(A14/10)</f>
        <v>#REF!</v>
      </c>
      <c r="B13" s="33"/>
      <c r="H13" s="33"/>
    </row>
    <row r="14" spans="1:8" s="34" customFormat="1" ht="12.75">
      <c r="A14" s="44" t="e">
        <f>TRUNC(A15/10)</f>
        <v>#REF!</v>
      </c>
      <c r="B14" s="33" t="e">
        <f>TRUNC(RIGHT(A14))</f>
        <v>#REF!</v>
      </c>
      <c r="C14" s="34" t="e">
        <f>B14</f>
        <v>#REF!</v>
      </c>
      <c r="E14" s="45" t="e">
        <f>IF(B14=1,E42,IF(B14=2,G34,IF(B14=3,G35,IF(B14=4,G36,IF(B14=5,G37,IF(B14=6,G38,IF(B14=7,G39,IF(B14=8,G40,G41))))))))</f>
        <v>#REF!</v>
      </c>
      <c r="H14" s="33"/>
    </row>
    <row r="15" spans="1:8" s="34" customFormat="1" ht="12.75">
      <c r="A15" s="44" t="e">
        <f>TRUNC(A16/10)</f>
        <v>#REF!</v>
      </c>
      <c r="B15" s="33" t="e">
        <f>TRUNC(RIGHT(A15))</f>
        <v>#REF!</v>
      </c>
      <c r="C15" s="34" t="e">
        <f>IF(B15=1,"",B15)</f>
        <v>#REF!</v>
      </c>
      <c r="E15" s="46" t="e">
        <f>IF(OR(C15=0,B15=1),"",IF(B15=2,E34,IF(B15=3,E35,IF(B15=4,E36,IF(B15=5,E37,IF(B15=6,E38,IF(B15=7,E39,IF(B15=8,E40,E41))))))))</f>
        <v>#REF!</v>
      </c>
      <c r="H15" s="33"/>
    </row>
    <row r="16" spans="1:8" s="34" customFormat="1" ht="12.75">
      <c r="A16" s="44" t="e">
        <f>TRUNC(A18/10)</f>
        <v>#REF!</v>
      </c>
      <c r="B16" s="33" t="e">
        <f>TRUNC(RIGHT(A16))</f>
        <v>#REF!</v>
      </c>
      <c r="C16" s="34" t="e">
        <f>IF(B15=1,B16+10,IF(B16=0,0,B16))</f>
        <v>#REF!</v>
      </c>
      <c r="D16" s="34" t="e">
        <f>IF(AND(C16&gt;9,C16&lt;16),IF(C16=10,D33,IF(C16=11,D34,IF(C16=12,D35,IF(C16=13,D36,IF(C16=14,D37,IF(C16=15,D38,)))))),"")</f>
        <v>#REF!</v>
      </c>
      <c r="E16" s="46" t="e">
        <f>IF(B16=1,A33,IF(B16=2,A34,IF(B16=3,A35,IF(B16=4,A36,IF(B16=5,A37,IF(B16=6,A38,IF(B16=7,A39,IF(B16=8,A40,A41))))))))</f>
        <v>#REF!</v>
      </c>
      <c r="F16" s="34" t="e">
        <f>IF(AND(C16&gt;15,C16&lt;20),IF(C16=16,D39,IF(C16=17,D40,IF(C16=18,D41,IF(C16=19,D42,)))),"")</f>
        <v>#REF!</v>
      </c>
      <c r="H16" s="33"/>
    </row>
    <row r="17" spans="1:8" s="34" customFormat="1" ht="12.75">
      <c r="A17" s="44"/>
      <c r="B17" s="33"/>
      <c r="D17" s="33"/>
      <c r="E17" s="34" t="e">
        <f>B16+B15*10+B14*100</f>
        <v>#REF!</v>
      </c>
      <c r="F17" s="34" t="e">
        <f>IF(E17=0,"",IF(B15=1,"миллиардов ",IF(B16=1,"милиард ",IF(OR(B16=2,B16=3,B16=4),"миллиарда ","милиардов "))))</f>
        <v>#REF!</v>
      </c>
      <c r="H17" s="33"/>
    </row>
    <row r="18" spans="1:8" s="34" customFormat="1" ht="12.75">
      <c r="A18" s="44" t="e">
        <f>TRUNC(A19/10)</f>
        <v>#REF!</v>
      </c>
      <c r="B18" s="33" t="e">
        <f>TRUNC(RIGHT(A18))</f>
        <v>#REF!</v>
      </c>
      <c r="C18" s="34" t="e">
        <f>B18</f>
        <v>#REF!</v>
      </c>
      <c r="E18" s="45" t="e">
        <f>IF(B18=1,E42,IF(B18=2,G34,IF(B18=3,G35,IF(B18=4,G36,IF(B18=5,G37,IF(B18=6,G38,IF(B18=7,G39,IF(B18=8,G40,G41))))))))</f>
        <v>#REF!</v>
      </c>
      <c r="H18" s="33"/>
    </row>
    <row r="19" spans="1:6" ht="12.75">
      <c r="A19" s="44" t="e">
        <f>TRUNC(A20/10)</f>
        <v>#REF!</v>
      </c>
      <c r="B19" s="33" t="e">
        <f>TRUNC(RIGHT(A19))</f>
        <v>#REF!</v>
      </c>
      <c r="C19" s="34" t="e">
        <f>IF(B19=1,"",B19)</f>
        <v>#REF!</v>
      </c>
      <c r="D19" s="34"/>
      <c r="E19" s="46" t="e">
        <f>IF(OR(C19=0,B19=1),"",IF(B19=2,E34,IF(B19=3,E35,IF(B19=4,E36,IF(B19=5,E37,IF(B19=6,E38,IF(B19=7,E39,IF(B19=8,E40,E41))))))))</f>
        <v>#REF!</v>
      </c>
      <c r="F19" s="34"/>
    </row>
    <row r="20" spans="1:6" s="34" customFormat="1" ht="12.75">
      <c r="A20" s="44" t="e">
        <f>TRUNC(A22/10)</f>
        <v>#REF!</v>
      </c>
      <c r="B20" s="33" t="e">
        <f>TRUNC(RIGHT(A20))</f>
        <v>#REF!</v>
      </c>
      <c r="C20" s="34" t="e">
        <f>IF(B19=1,B20+10,IF(B20=0,0,B20))</f>
        <v>#REF!</v>
      </c>
      <c r="D20" s="34" t="e">
        <f>IF(AND(C20&gt;9,C20&lt;16),IF(C20=10,D33,IF(C20=11,D34,IF(C20=12,D35,IF(C20=13,D36,IF(C20=14,D37,IF(C20=15,D38,)))))),"")</f>
        <v>#REF!</v>
      </c>
      <c r="E20" s="46" t="e">
        <f>IF(B20=1,A33,IF(B20=2,A34,IF(B20=3,A35,IF(B20=4,A36,IF(B20=5,A37,IF(B20=6,A38,IF(B20=7,A39,IF(B20=8,A40,A41))))))))</f>
        <v>#REF!</v>
      </c>
      <c r="F20" s="34" t="e">
        <f>IF(AND(C20&gt;15,C20&lt;20),IF(C20=16,D39,IF(C20=17,D40,IF(C20=18,D41,IF(C20=19,D42,)))),"")</f>
        <v>#REF!</v>
      </c>
    </row>
    <row r="21" spans="1:6" s="34" customFormat="1" ht="12.75">
      <c r="A21" s="44"/>
      <c r="B21" s="33"/>
      <c r="E21" s="34" t="e">
        <f>B20+B19*10+B18*100</f>
        <v>#REF!</v>
      </c>
      <c r="F21" s="34" t="e">
        <f>IF(E21=0,"",IF(B19=1,"миллионов ",IF(B20=1,"миллион ",IF(OR(B20=2,B20=3,B20=4),"миллиона ","миллионов "))))</f>
        <v>#REF!</v>
      </c>
    </row>
    <row r="22" spans="1:9" s="34" customFormat="1" ht="12.75">
      <c r="A22" s="44" t="e">
        <f>TRUNC(A23/10)</f>
        <v>#REF!</v>
      </c>
      <c r="B22" s="33" t="e">
        <f>TRUNC(RIGHT(A22))</f>
        <v>#REF!</v>
      </c>
      <c r="C22" s="34" t="e">
        <f>B22</f>
        <v>#REF!</v>
      </c>
      <c r="E22" s="45" t="e">
        <f>IF(B22=1,E42,IF(B22=2,G34,IF(B22=3,G35,IF(B22=4,G36,IF(B22=5,G37,IF(B22=6,G38,IF(B22=7,G39,IF(B22=8,G40,G41))))))))</f>
        <v>#REF!</v>
      </c>
      <c r="I22" s="41"/>
    </row>
    <row r="23" spans="1:5" s="34" customFormat="1" ht="12.75">
      <c r="A23" s="44" t="e">
        <f>TRUNC(A24/10)</f>
        <v>#REF!</v>
      </c>
      <c r="B23" s="33" t="e">
        <f>TRUNC(RIGHT(A23))</f>
        <v>#REF!</v>
      </c>
      <c r="C23" s="34" t="e">
        <f>IF(B23=1,"",B23)</f>
        <v>#REF!</v>
      </c>
      <c r="E23" s="46" t="e">
        <f>IF(OR(C23=0,B23=1),"",IF(B23=2,E34,IF(B23=3,E35,IF(B23=4,E36,IF(B23=5,E37,IF(B23=6,E38,IF(B23=7,E39,IF(B23=8,E40,E41))))))))</f>
        <v>#REF!</v>
      </c>
    </row>
    <row r="24" spans="1:6" s="34" customFormat="1" ht="12.75">
      <c r="A24" s="44" t="e">
        <f>TRUNC(A26/10)</f>
        <v>#REF!</v>
      </c>
      <c r="B24" s="33" t="e">
        <f>TRUNC(RIGHT(A24))</f>
        <v>#REF!</v>
      </c>
      <c r="C24" s="34" t="e">
        <f>IF(B23=1,B24+10,IF(B24=0,0,B24))</f>
        <v>#REF!</v>
      </c>
      <c r="D24" s="34" t="e">
        <f>IF(AND(C24&gt;9,C24&lt;16),IF(C24=10,D33,IF(C24=11,D34,IF(C24=12,D35,IF(C24=13,D36,IF(C24=14,D37,IF(C24=15,D38,)))))),"")</f>
        <v>#REF!</v>
      </c>
      <c r="E24" s="46" t="e">
        <f>IF(B24=1,B33,IF(B24=2,B34,IF(B24=3,A35,IF(B24=4,A36,IF(B24=5,A37,IF(B24=6,A38,IF(B24=7,A39,IF(B24=8,A40,A41))))))))</f>
        <v>#REF!</v>
      </c>
      <c r="F24" s="34" t="e">
        <f>IF(AND(C24&gt;15,C24&lt;20),IF(C24=16,D39,IF(C24=17,D40,IF(C24=18,D41,IF(C24=19,D42,)))),"")</f>
        <v>#REF!</v>
      </c>
    </row>
    <row r="25" spans="1:6" s="34" customFormat="1" ht="12.75">
      <c r="A25" s="44"/>
      <c r="B25" s="33"/>
      <c r="E25" s="46" t="e">
        <f>B22*100+B23*10+B24</f>
        <v>#REF!</v>
      </c>
      <c r="F25" s="34" t="e">
        <f>IF(E25=0,"",IF(B23=1,"тысяч ",IF(B24=1,"тысяча ",IF(OR(B24=2,B24=3,B24=4),"тысячи ","тысяч "))))</f>
        <v>#REF!</v>
      </c>
    </row>
    <row r="26" spans="1:5" s="34" customFormat="1" ht="12.75">
      <c r="A26" s="44" t="e">
        <f>TRUNC(A27/10)</f>
        <v>#REF!</v>
      </c>
      <c r="B26" s="33" t="e">
        <f>TRUNC(RIGHT(A26))</f>
        <v>#REF!</v>
      </c>
      <c r="C26" s="34" t="e">
        <f>B26</f>
        <v>#REF!</v>
      </c>
      <c r="E26" s="45" t="e">
        <f>IF(B26=1,E42,IF(B26=2,G34,IF(B26=3,G35,IF(B26=4,G36,IF(B26=5,G37,IF(B26=6,G38,IF(B26=7,G39,IF(B26=8,G40,G41))))))))</f>
        <v>#REF!</v>
      </c>
    </row>
    <row r="27" spans="1:7" s="34" customFormat="1" ht="12.75">
      <c r="A27" s="44" t="e">
        <f>TRUNC(A28/10)</f>
        <v>#REF!</v>
      </c>
      <c r="B27" s="47" t="e">
        <f>TRUNC(RIGHT(A27))</f>
        <v>#REF!</v>
      </c>
      <c r="C27" s="34" t="e">
        <f>IF(B27=1,"",B27)</f>
        <v>#REF!</v>
      </c>
      <c r="E27" s="46" t="e">
        <f>IF(OR(C27=0,B27=1),"",IF(C27=2,E34,IF(C27=3,E35,IF(C27=4,E36,IF(C27=5,E37,IF(C27=6,E38,IF(C27=7,E39,IF(C27=8,E40,E41))))))))</f>
        <v>#REF!</v>
      </c>
      <c r="G27" s="33"/>
    </row>
    <row r="28" spans="1:7" s="34" customFormat="1" ht="12.75">
      <c r="A28" s="44" t="e">
        <f>E12</f>
        <v>#REF!</v>
      </c>
      <c r="B28" s="33" t="e">
        <f>TRUNC(RIGHT(A28))</f>
        <v>#REF!</v>
      </c>
      <c r="C28" s="34" t="e">
        <f>IF(B27=1,B28+10,IF(B28=0,0,B28))</f>
        <v>#REF!</v>
      </c>
      <c r="D28" s="34" t="e">
        <f>IF(AND(C28&gt;9,C28&lt;16),IF(C28=10,D33,IF(C28=11,D34,IF(C28=12,D35,IF(C28=13,D36,IF(C28=14,D37,IF(C28=15,D38,)))))),"")</f>
        <v>#REF!</v>
      </c>
      <c r="E28" s="46" t="e">
        <f>IF(B28=1,A33,IF(B28=2,A34,IF(B28=3,A35,IF(B28=4,A36,IF(B28=5,A37,IF(B28=6,A38,IF(B28=7,A39,IF(B28=8,A40,A41))))))))</f>
        <v>#REF!</v>
      </c>
      <c r="F28" s="34" t="e">
        <f>IF(AND(C28&gt;15,C28&lt;20),IF(C28=16,D39,IF(C28=17,D40,IF(C28=18,D41,IF(C28=19,D42,)))),"")</f>
        <v>#REF!</v>
      </c>
      <c r="G28" s="33"/>
    </row>
    <row r="29" spans="1:7" s="34" customFormat="1" ht="12.75">
      <c r="A29" s="40"/>
      <c r="B29" s="47"/>
      <c r="C29" s="33"/>
      <c r="E29" s="46" t="e">
        <f>B26*100+B27*10+B28</f>
        <v>#REF!</v>
      </c>
      <c r="F29" s="34" t="e">
        <f>IF(E29+E25+E21+E17=0,"ноль белорусских рублей ",IF(C28=1,"белорусский рубль ",IF(OR(C28=2,C28=3,C28=4),"белорусских рубля ","белорусских рублей ")))</f>
        <v>#REF!</v>
      </c>
      <c r="G29" s="33"/>
    </row>
    <row r="30" spans="1:8" s="34" customFormat="1" ht="12.75">
      <c r="A30" s="48" t="e">
        <f>ROUND(100*(E1-E12),0)</f>
        <v>#REF!</v>
      </c>
      <c r="C30" s="33" t="e">
        <f>TRUNC(A30/10)</f>
        <v>#REF!</v>
      </c>
      <c r="E30" s="46" t="e">
        <f>IF(OR(C30=1,C30=0),"",IF(C30=2,E34,IF(C30=3,E35,IF(C30=4,E36,IF(C30=5,E37,IF(C30=6,E38,IF(C30=7,E39,IF(C30=8,E40,E41))))))))</f>
        <v>#REF!</v>
      </c>
      <c r="H30" s="33"/>
    </row>
    <row r="31" spans="3:8" s="34" customFormat="1" ht="12.75">
      <c r="C31" s="33" t="e">
        <f>TRUNC(A30-C30*10)</f>
        <v>#REF!</v>
      </c>
      <c r="E31" s="46" t="e">
        <f>IF(C31=1,B33,IF(C31=2,B34,IF(C31=3,A35,IF(C31=4,A36,IF(C31=5,A37,IF(C31=6,A38,IF(C31=7,A39,IF(C31=8,A40,A41))))))))</f>
        <v>#REF!</v>
      </c>
      <c r="H31" s="33"/>
    </row>
    <row r="32" s="34" customFormat="1" ht="12.75">
      <c r="H32" s="33"/>
    </row>
    <row r="33" spans="1:8" s="34" customFormat="1" ht="12.75">
      <c r="A33" s="34" t="s">
        <v>12</v>
      </c>
      <c r="B33" s="34" t="s">
        <v>13</v>
      </c>
      <c r="D33" s="34" t="s">
        <v>14</v>
      </c>
      <c r="H33" s="33"/>
    </row>
    <row r="34" spans="1:7" s="34" customFormat="1" ht="12.75">
      <c r="A34" s="34" t="s">
        <v>15</v>
      </c>
      <c r="B34" s="34" t="s">
        <v>16</v>
      </c>
      <c r="D34" s="34" t="s">
        <v>17</v>
      </c>
      <c r="E34" s="34" t="s">
        <v>18</v>
      </c>
      <c r="G34" s="34" t="s">
        <v>19</v>
      </c>
    </row>
    <row r="35" spans="1:7" s="34" customFormat="1" ht="12.75">
      <c r="A35" s="34" t="s">
        <v>20</v>
      </c>
      <c r="D35" s="34" t="s">
        <v>21</v>
      </c>
      <c r="E35" s="34" t="s">
        <v>22</v>
      </c>
      <c r="G35" s="34" t="s">
        <v>23</v>
      </c>
    </row>
    <row r="36" spans="1:7" s="34" customFormat="1" ht="12.75">
      <c r="A36" s="34" t="s">
        <v>24</v>
      </c>
      <c r="D36" s="34" t="s">
        <v>25</v>
      </c>
      <c r="E36" s="34" t="s">
        <v>26</v>
      </c>
      <c r="G36" s="34" t="s">
        <v>27</v>
      </c>
    </row>
    <row r="37" spans="1:7" s="34" customFormat="1" ht="12.75">
      <c r="A37" s="34" t="s">
        <v>28</v>
      </c>
      <c r="D37" s="34" t="s">
        <v>29</v>
      </c>
      <c r="E37" s="34" t="s">
        <v>30</v>
      </c>
      <c r="G37" s="34" t="s">
        <v>31</v>
      </c>
    </row>
    <row r="38" spans="1:7" s="34" customFormat="1" ht="12.75">
      <c r="A38" s="34" t="s">
        <v>32</v>
      </c>
      <c r="D38" s="34" t="s">
        <v>33</v>
      </c>
      <c r="E38" s="34" t="s">
        <v>34</v>
      </c>
      <c r="G38" s="34" t="s">
        <v>35</v>
      </c>
    </row>
    <row r="39" spans="1:7" s="34" customFormat="1" ht="12.75">
      <c r="A39" s="34" t="s">
        <v>36</v>
      </c>
      <c r="D39" s="34" t="s">
        <v>37</v>
      </c>
      <c r="E39" s="34" t="s">
        <v>38</v>
      </c>
      <c r="G39" s="34" t="s">
        <v>39</v>
      </c>
    </row>
    <row r="40" spans="1:7" s="34" customFormat="1" ht="12.75">
      <c r="A40" s="49" t="s">
        <v>40</v>
      </c>
      <c r="D40" s="34" t="s">
        <v>41</v>
      </c>
      <c r="E40" s="34" t="s">
        <v>42</v>
      </c>
      <c r="G40" s="34" t="s">
        <v>43</v>
      </c>
    </row>
    <row r="41" spans="1:7" s="34" customFormat="1" ht="12.75">
      <c r="A41" s="34" t="s">
        <v>44</v>
      </c>
      <c r="D41" s="34" t="s">
        <v>45</v>
      </c>
      <c r="E41" s="34" t="s">
        <v>46</v>
      </c>
      <c r="G41" s="34" t="s">
        <v>47</v>
      </c>
    </row>
    <row r="42" spans="4:8" s="34" customFormat="1" ht="12.75">
      <c r="D42" s="34" t="s">
        <v>48</v>
      </c>
      <c r="E42" s="34" t="s">
        <v>49</v>
      </c>
      <c r="H42" s="33"/>
    </row>
    <row r="43" s="34" customFormat="1" ht="12.75">
      <c r="H43" s="33"/>
    </row>
    <row r="44" s="34" customFormat="1" ht="12.75">
      <c r="H44" s="33"/>
    </row>
    <row r="45" s="34" customFormat="1" ht="12.75">
      <c r="H45" s="33"/>
    </row>
    <row r="46" s="34" customFormat="1" ht="12.75">
      <c r="H46" s="33"/>
    </row>
    <row r="47" s="34" customFormat="1" ht="12.75">
      <c r="H47" s="33"/>
    </row>
    <row r="48" s="34" customFormat="1" ht="12.75">
      <c r="H48" s="33"/>
    </row>
    <row r="96" spans="1:4" ht="12.75">
      <c r="A96" s="146"/>
      <c r="B96" s="146"/>
      <c r="C96" s="146"/>
      <c r="D96" s="146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2016-07-06T07:28:02Z</cp:lastPrinted>
  <dcterms:created xsi:type="dcterms:W3CDTF">2003-10-18T11:05:50Z</dcterms:created>
  <dcterms:modified xsi:type="dcterms:W3CDTF">2021-03-17T08:46:56Z</dcterms:modified>
  <cp:category/>
  <cp:version/>
  <cp:contentType/>
  <cp:contentStatus/>
</cp:coreProperties>
</file>